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Gabriel\Google Drive\SEDUC\JN\U.E. Jose Narciso - Phb\Novo projeto elétrico\"/>
    </mc:Choice>
  </mc:AlternateContent>
  <xr:revisionPtr revIDLastSave="0" documentId="13_ncr:1_{7FCC5B34-9B22-4EB3-A07E-E68755BD74D3}" xr6:coauthVersionLast="45" xr6:coauthVersionMax="45" xr10:uidLastSave="{00000000-0000-0000-0000-000000000000}"/>
  <bookViews>
    <workbookView xWindow="-120" yWindow="-120" windowWidth="19440" windowHeight="11640" activeTab="1" xr2:uid="{00000000-000D-0000-FFFF-FFFF00000000}"/>
  </bookViews>
  <sheets>
    <sheet name="LEVANTAMENTO" sheetId="1" r:id="rId1"/>
    <sheet name="QGBT" sheetId="2" r:id="rId2"/>
    <sheet name="QD SPLITS" sheetId="4" r:id="rId3"/>
    <sheet name="LISTA DE MATERIAIS" sheetId="6" r:id="rId4"/>
    <sheet name="Planilha4" sheetId="5" r:id="rId5"/>
  </sheets>
  <definedNames>
    <definedName name="_xlnm._FilterDatabase" localSheetId="0" hidden="1">LEVANTAMENTO!$Q$2:$Q$40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6" l="1"/>
  <c r="H41" i="6"/>
  <c r="I41" i="6"/>
  <c r="F41" i="6"/>
  <c r="I40" i="6"/>
  <c r="H40" i="6"/>
  <c r="G40" i="6"/>
  <c r="F40" i="6"/>
  <c r="B45" i="6"/>
  <c r="B44" i="6"/>
  <c r="B43" i="6"/>
  <c r="B42" i="6"/>
  <c r="B41" i="6"/>
  <c r="B40" i="6"/>
  <c r="B39" i="6"/>
  <c r="B37" i="6"/>
  <c r="B35" i="6"/>
  <c r="B36" i="6"/>
  <c r="B18" i="6"/>
  <c r="B17" i="6"/>
  <c r="B16" i="6"/>
  <c r="B15" i="6"/>
  <c r="B33" i="6"/>
  <c r="B28" i="6"/>
  <c r="B30" i="6" s="1"/>
  <c r="B27" i="6"/>
  <c r="B46" i="6" s="1"/>
  <c r="N24" i="2"/>
  <c r="B47" i="6" l="1"/>
  <c r="B29" i="6"/>
  <c r="B34" i="6"/>
  <c r="C2" i="5"/>
  <c r="E2" i="5"/>
  <c r="L24" i="2"/>
  <c r="F2" i="5" l="1"/>
  <c r="U25" i="2"/>
  <c r="W6" i="2"/>
  <c r="W7" i="2" s="1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V6" i="2"/>
  <c r="V7" i="2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W5" i="2"/>
  <c r="V5" i="2"/>
  <c r="K24" i="2"/>
  <c r="AA6" i="2"/>
  <c r="AA7" i="2"/>
  <c r="Y7" i="2" s="1"/>
  <c r="AA8" i="2"/>
  <c r="AA9" i="2"/>
  <c r="Y9" i="2" s="1"/>
  <c r="AA10" i="2"/>
  <c r="AA11" i="2"/>
  <c r="Y11" i="2" s="1"/>
  <c r="AA12" i="2"/>
  <c r="AA13" i="2"/>
  <c r="Y13" i="2" s="1"/>
  <c r="AA14" i="2"/>
  <c r="AA15" i="2"/>
  <c r="Y15" i="2" s="1"/>
  <c r="AA16" i="2"/>
  <c r="AA17" i="2"/>
  <c r="Y17" i="2" s="1"/>
  <c r="AA18" i="2"/>
  <c r="AA19" i="2"/>
  <c r="Y19" i="2" s="1"/>
  <c r="AA20" i="2"/>
  <c r="AA21" i="2"/>
  <c r="Y21" i="2" s="1"/>
  <c r="AA5" i="2"/>
  <c r="Y5" i="2" s="1"/>
  <c r="Y6" i="2"/>
  <c r="Y8" i="2"/>
  <c r="Y10" i="2"/>
  <c r="Y12" i="2"/>
  <c r="Y14" i="2"/>
  <c r="Y16" i="2"/>
  <c r="Y18" i="2"/>
  <c r="Y20" i="2"/>
  <c r="U5" i="2"/>
  <c r="U6" i="2" s="1"/>
  <c r="U7" i="2" s="1"/>
  <c r="U8" i="2" s="1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M24" i="2"/>
  <c r="A25" i="2"/>
  <c r="J24" i="2"/>
  <c r="J23" i="2"/>
  <c r="K23" i="2"/>
  <c r="J6" i="2"/>
  <c r="J7" i="2"/>
  <c r="K7" i="2" s="1"/>
  <c r="N7" i="2" s="1"/>
  <c r="J8" i="2"/>
  <c r="J9" i="2"/>
  <c r="J10" i="2"/>
  <c r="J11" i="2"/>
  <c r="K11" i="2" s="1"/>
  <c r="N11" i="2" s="1"/>
  <c r="J12" i="2"/>
  <c r="J13" i="2"/>
  <c r="J14" i="2"/>
  <c r="J15" i="2"/>
  <c r="K15" i="2" s="1"/>
  <c r="N15" i="2" s="1"/>
  <c r="J16" i="2"/>
  <c r="J17" i="2"/>
  <c r="K17" i="2" s="1"/>
  <c r="N17" i="2" s="1"/>
  <c r="J18" i="2"/>
  <c r="J19" i="2"/>
  <c r="K19" i="2" s="1"/>
  <c r="N19" i="2" s="1"/>
  <c r="J20" i="2"/>
  <c r="J21" i="2"/>
  <c r="K21" i="2" s="1"/>
  <c r="N21" i="2" s="1"/>
  <c r="J22" i="2"/>
  <c r="J5" i="2"/>
  <c r="K5" i="2" s="1"/>
  <c r="N5" i="2" s="1"/>
  <c r="A29" i="4"/>
  <c r="T26" i="4"/>
  <c r="U26" i="4"/>
  <c r="S26" i="4"/>
  <c r="A28" i="4"/>
  <c r="U5" i="4"/>
  <c r="U6" i="4" s="1"/>
  <c r="U7" i="4" s="1"/>
  <c r="U8" i="4" s="1"/>
  <c r="U9" i="4" s="1"/>
  <c r="U10" i="4" s="1"/>
  <c r="U11" i="4" s="1"/>
  <c r="U12" i="4" s="1"/>
  <c r="U13" i="4" s="1"/>
  <c r="U14" i="4" s="1"/>
  <c r="U15" i="4" s="1"/>
  <c r="U16" i="4" s="1"/>
  <c r="U17" i="4" s="1"/>
  <c r="U18" i="4" s="1"/>
  <c r="U19" i="4" s="1"/>
  <c r="U20" i="4" s="1"/>
  <c r="U21" i="4" s="1"/>
  <c r="U22" i="4" s="1"/>
  <c r="U23" i="4" s="1"/>
  <c r="U24" i="4" s="1"/>
  <c r="U25" i="4" s="1"/>
  <c r="T6" i="4"/>
  <c r="T7" i="4" s="1"/>
  <c r="T8" i="4" s="1"/>
  <c r="T9" i="4" s="1"/>
  <c r="T10" i="4" s="1"/>
  <c r="T11" i="4" s="1"/>
  <c r="T12" i="4" s="1"/>
  <c r="T13" i="4" s="1"/>
  <c r="T14" i="4" s="1"/>
  <c r="T15" i="4" s="1"/>
  <c r="T16" i="4" s="1"/>
  <c r="T17" i="4" s="1"/>
  <c r="T18" i="4" s="1"/>
  <c r="T19" i="4" s="1"/>
  <c r="T20" i="4" s="1"/>
  <c r="T21" i="4" s="1"/>
  <c r="T22" i="4" s="1"/>
  <c r="T23" i="4" s="1"/>
  <c r="T24" i="4" s="1"/>
  <c r="T25" i="4" s="1"/>
  <c r="T5" i="4"/>
  <c r="S6" i="4"/>
  <c r="S5" i="4"/>
  <c r="K27" i="4"/>
  <c r="J27" i="4"/>
  <c r="I27" i="4"/>
  <c r="H27" i="4"/>
  <c r="I26" i="4"/>
  <c r="H26" i="4"/>
  <c r="D26" i="4"/>
  <c r="E26" i="4"/>
  <c r="F26" i="4"/>
  <c r="G26" i="4"/>
  <c r="C26" i="4"/>
  <c r="L23" i="4"/>
  <c r="I23" i="4"/>
  <c r="H6" i="4"/>
  <c r="I6" i="4" s="1"/>
  <c r="L6" i="4" s="1"/>
  <c r="H7" i="4"/>
  <c r="H8" i="4"/>
  <c r="I8" i="4" s="1"/>
  <c r="L8" i="4" s="1"/>
  <c r="H9" i="4"/>
  <c r="H10" i="4"/>
  <c r="I10" i="4" s="1"/>
  <c r="L10" i="4" s="1"/>
  <c r="H11" i="4"/>
  <c r="I11" i="4" s="1"/>
  <c r="L11" i="4" s="1"/>
  <c r="H12" i="4"/>
  <c r="I12" i="4" s="1"/>
  <c r="L12" i="4" s="1"/>
  <c r="H13" i="4"/>
  <c r="H14" i="4"/>
  <c r="I14" i="4" s="1"/>
  <c r="L14" i="4" s="1"/>
  <c r="H15" i="4"/>
  <c r="I15" i="4" s="1"/>
  <c r="L15" i="4" s="1"/>
  <c r="H16" i="4"/>
  <c r="I16" i="4" s="1"/>
  <c r="L16" i="4" s="1"/>
  <c r="H17" i="4"/>
  <c r="H18" i="4"/>
  <c r="I18" i="4" s="1"/>
  <c r="L18" i="4" s="1"/>
  <c r="H19" i="4"/>
  <c r="H20" i="4"/>
  <c r="I20" i="4" s="1"/>
  <c r="L20" i="4" s="1"/>
  <c r="H21" i="4"/>
  <c r="H22" i="4"/>
  <c r="I22" i="4" s="1"/>
  <c r="L22" i="4" s="1"/>
  <c r="H23" i="4"/>
  <c r="H24" i="4"/>
  <c r="I24" i="4" s="1"/>
  <c r="L24" i="4" s="1"/>
  <c r="H25" i="4"/>
  <c r="I25" i="4" s="1"/>
  <c r="L25" i="4" s="1"/>
  <c r="H5" i="4"/>
  <c r="I5" i="4" s="1"/>
  <c r="L5" i="4" s="1"/>
  <c r="D23" i="2"/>
  <c r="E23" i="2"/>
  <c r="F23" i="2"/>
  <c r="G23" i="2"/>
  <c r="H23" i="2"/>
  <c r="I23" i="2"/>
  <c r="C23" i="2"/>
  <c r="K9" i="2"/>
  <c r="N9" i="2" s="1"/>
  <c r="K13" i="2"/>
  <c r="N13" i="2" s="1"/>
  <c r="K22" i="2"/>
  <c r="I21" i="4"/>
  <c r="L21" i="4" s="1"/>
  <c r="I19" i="4"/>
  <c r="L19" i="4" s="1"/>
  <c r="I17" i="4"/>
  <c r="L17" i="4" s="1"/>
  <c r="I13" i="4"/>
  <c r="L13" i="4" s="1"/>
  <c r="I9" i="4"/>
  <c r="L9" i="4" s="1"/>
  <c r="I7" i="4"/>
  <c r="L7" i="4" s="1"/>
  <c r="K18" i="2"/>
  <c r="N18" i="2" s="1"/>
  <c r="K20" i="2"/>
  <c r="N20" i="2" s="1"/>
  <c r="K6" i="2"/>
  <c r="N6" i="2" s="1"/>
  <c r="K8" i="2"/>
  <c r="N8" i="2" s="1"/>
  <c r="K10" i="2"/>
  <c r="N10" i="2" s="1"/>
  <c r="K12" i="2"/>
  <c r="N12" i="2" s="1"/>
  <c r="K14" i="2"/>
  <c r="N14" i="2" s="1"/>
  <c r="K16" i="2"/>
  <c r="N16" i="2" s="1"/>
  <c r="A26" i="2" l="1"/>
  <c r="S7" i="4"/>
  <c r="F38" i="1"/>
  <c r="G38" i="1" s="1"/>
  <c r="S8" i="4" l="1"/>
  <c r="J38" i="1"/>
  <c r="L38" i="1" s="1"/>
  <c r="I38" i="1"/>
  <c r="P3" i="1"/>
  <c r="Q3" i="1" s="1"/>
  <c r="P5" i="1"/>
  <c r="Q5" i="1" s="1"/>
  <c r="P6" i="1"/>
  <c r="Q6" i="1" s="1"/>
  <c r="P11" i="1"/>
  <c r="Q11" i="1" s="1"/>
  <c r="P13" i="1"/>
  <c r="Q13" i="1" s="1"/>
  <c r="P14" i="1"/>
  <c r="Q14" i="1" s="1"/>
  <c r="P8" i="1"/>
  <c r="Q8" i="1" s="1"/>
  <c r="P9" i="1"/>
  <c r="Q9" i="1" s="1"/>
  <c r="P10" i="1"/>
  <c r="Q10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3" i="1"/>
  <c r="Q23" i="1" s="1"/>
  <c r="P27" i="1"/>
  <c r="Q27" i="1" s="1"/>
  <c r="P29" i="1"/>
  <c r="Q29" i="1" s="1"/>
  <c r="P30" i="1"/>
  <c r="Q30" i="1" s="1"/>
  <c r="M24" i="1"/>
  <c r="M3" i="1"/>
  <c r="M5" i="1"/>
  <c r="M6" i="1"/>
  <c r="M11" i="1"/>
  <c r="M13" i="1"/>
  <c r="M14" i="1"/>
  <c r="M8" i="1"/>
  <c r="M9" i="1"/>
  <c r="M10" i="1"/>
  <c r="M16" i="1"/>
  <c r="M17" i="1"/>
  <c r="M18" i="1"/>
  <c r="M19" i="1"/>
  <c r="M20" i="1"/>
  <c r="M27" i="1"/>
  <c r="M29" i="1"/>
  <c r="F3" i="1"/>
  <c r="G3" i="1" s="1"/>
  <c r="F4" i="1"/>
  <c r="G4" i="1" s="1"/>
  <c r="I4" i="1" s="1"/>
  <c r="F5" i="1"/>
  <c r="F6" i="1"/>
  <c r="G6" i="1" s="1"/>
  <c r="I6" i="1" s="1"/>
  <c r="F11" i="1"/>
  <c r="G11" i="1" s="1"/>
  <c r="I11" i="1" s="1"/>
  <c r="F12" i="1"/>
  <c r="G12" i="1" s="1"/>
  <c r="I12" i="1" s="1"/>
  <c r="F13" i="1"/>
  <c r="G13" i="1" s="1"/>
  <c r="I13" i="1" s="1"/>
  <c r="F14" i="1"/>
  <c r="G14" i="1" s="1"/>
  <c r="I14" i="1" s="1"/>
  <c r="F7" i="1"/>
  <c r="G7" i="1" s="1"/>
  <c r="I7" i="1" s="1"/>
  <c r="F8" i="1"/>
  <c r="G8" i="1" s="1"/>
  <c r="I8" i="1" s="1"/>
  <c r="F9" i="1"/>
  <c r="G9" i="1" s="1"/>
  <c r="F10" i="1"/>
  <c r="G10" i="1" s="1"/>
  <c r="I10" i="1" s="1"/>
  <c r="F15" i="1"/>
  <c r="F16" i="1"/>
  <c r="G16" i="1" s="1"/>
  <c r="I16" i="1" s="1"/>
  <c r="F17" i="1"/>
  <c r="G17" i="1" s="1"/>
  <c r="I17" i="1" s="1"/>
  <c r="F18" i="1"/>
  <c r="G18" i="1" s="1"/>
  <c r="I18" i="1" s="1"/>
  <c r="F36" i="1"/>
  <c r="G36" i="1" s="1"/>
  <c r="J36" i="1" s="1"/>
  <c r="L36" i="1" s="1"/>
  <c r="F19" i="1"/>
  <c r="G19" i="1" s="1"/>
  <c r="I19" i="1" s="1"/>
  <c r="F37" i="1"/>
  <c r="G37" i="1" s="1"/>
  <c r="J37" i="1" s="1"/>
  <c r="L37" i="1" s="1"/>
  <c r="F20" i="1"/>
  <c r="G20" i="1" s="1"/>
  <c r="I20" i="1" s="1"/>
  <c r="F21" i="1"/>
  <c r="G21" i="1" s="1"/>
  <c r="I21" i="1" s="1"/>
  <c r="F22" i="1"/>
  <c r="G22" i="1" s="1"/>
  <c r="I22" i="1" s="1"/>
  <c r="F23" i="1"/>
  <c r="G23" i="1" s="1"/>
  <c r="I23" i="1" s="1"/>
  <c r="F24" i="1"/>
  <c r="G24" i="1" s="1"/>
  <c r="I24" i="1" s="1"/>
  <c r="F25" i="1"/>
  <c r="G25" i="1" s="1"/>
  <c r="I25" i="1" s="1"/>
  <c r="F26" i="1"/>
  <c r="G26" i="1" s="1"/>
  <c r="I26" i="1" s="1"/>
  <c r="F27" i="1"/>
  <c r="G27" i="1" s="1"/>
  <c r="I27" i="1" s="1"/>
  <c r="F28" i="1"/>
  <c r="G28" i="1" s="1"/>
  <c r="I28" i="1" s="1"/>
  <c r="F29" i="1"/>
  <c r="G29" i="1" s="1"/>
  <c r="I29" i="1" s="1"/>
  <c r="F30" i="1"/>
  <c r="F31" i="1"/>
  <c r="G31" i="1" s="1"/>
  <c r="I31" i="1" s="1"/>
  <c r="F32" i="1"/>
  <c r="G32" i="1" s="1"/>
  <c r="I32" i="1" s="1"/>
  <c r="F33" i="1"/>
  <c r="G33" i="1" s="1"/>
  <c r="I33" i="1" s="1"/>
  <c r="F34" i="1"/>
  <c r="G34" i="1" s="1"/>
  <c r="I34" i="1" s="1"/>
  <c r="F39" i="1"/>
  <c r="G39" i="1" s="1"/>
  <c r="I39" i="1" s="1"/>
  <c r="F35" i="1"/>
  <c r="G35" i="1" s="1"/>
  <c r="J35" i="1" s="1"/>
  <c r="L35" i="1" s="1"/>
  <c r="G15" i="1"/>
  <c r="G30" i="1"/>
  <c r="I30" i="1" s="1"/>
  <c r="G5" i="1"/>
  <c r="C37" i="1"/>
  <c r="C36" i="1"/>
  <c r="S9" i="4" l="1"/>
  <c r="J34" i="1"/>
  <c r="L34" i="1" s="1"/>
  <c r="K34" i="1" s="1"/>
  <c r="J26" i="1"/>
  <c r="L26" i="1" s="1"/>
  <c r="K26" i="1" s="1"/>
  <c r="J16" i="1"/>
  <c r="L16" i="1" s="1"/>
  <c r="K16" i="1" s="1"/>
  <c r="J12" i="1"/>
  <c r="L12" i="1" s="1"/>
  <c r="J30" i="1"/>
  <c r="L30" i="1" s="1"/>
  <c r="K30" i="1" s="1"/>
  <c r="J19" i="1"/>
  <c r="L19" i="1" s="1"/>
  <c r="K19" i="1" s="1"/>
  <c r="J8" i="1"/>
  <c r="L8" i="1" s="1"/>
  <c r="K8" i="1" s="1"/>
  <c r="J4" i="1"/>
  <c r="L4" i="1" s="1"/>
  <c r="K4" i="1" s="1"/>
  <c r="I9" i="1"/>
  <c r="J9" i="1"/>
  <c r="L9" i="1" s="1"/>
  <c r="I5" i="1"/>
  <c r="J5" i="1"/>
  <c r="L5" i="1" s="1"/>
  <c r="J22" i="1"/>
  <c r="L22" i="1" s="1"/>
  <c r="K22" i="1" s="1"/>
  <c r="I3" i="1"/>
  <c r="J3" i="1"/>
  <c r="L3" i="1" s="1"/>
  <c r="I15" i="1"/>
  <c r="J15" i="1"/>
  <c r="L15" i="1" s="1"/>
  <c r="J32" i="1"/>
  <c r="L32" i="1" s="1"/>
  <c r="K32" i="1" s="1"/>
  <c r="J28" i="1"/>
  <c r="L28" i="1" s="1"/>
  <c r="K28" i="1" s="1"/>
  <c r="J24" i="1"/>
  <c r="L24" i="1" s="1"/>
  <c r="K24" i="1" s="1"/>
  <c r="J20" i="1"/>
  <c r="L20" i="1" s="1"/>
  <c r="J18" i="1"/>
  <c r="L18" i="1" s="1"/>
  <c r="K18" i="1" s="1"/>
  <c r="J10" i="1"/>
  <c r="L10" i="1" s="1"/>
  <c r="K10" i="1" s="1"/>
  <c r="J14" i="1"/>
  <c r="L14" i="1" s="1"/>
  <c r="J6" i="1"/>
  <c r="L6" i="1" s="1"/>
  <c r="J39" i="1"/>
  <c r="L39" i="1" s="1"/>
  <c r="K39" i="1" s="1"/>
  <c r="J33" i="1"/>
  <c r="L33" i="1" s="1"/>
  <c r="K33" i="1" s="1"/>
  <c r="J31" i="1"/>
  <c r="L31" i="1" s="1"/>
  <c r="K31" i="1" s="1"/>
  <c r="J29" i="1"/>
  <c r="L29" i="1" s="1"/>
  <c r="K29" i="1" s="1"/>
  <c r="J27" i="1"/>
  <c r="L27" i="1" s="1"/>
  <c r="J25" i="1"/>
  <c r="L25" i="1" s="1"/>
  <c r="K25" i="1" s="1"/>
  <c r="J23" i="1"/>
  <c r="L23" i="1" s="1"/>
  <c r="K23" i="1" s="1"/>
  <c r="J21" i="1"/>
  <c r="L21" i="1" s="1"/>
  <c r="K21" i="1" s="1"/>
  <c r="J17" i="1"/>
  <c r="L17" i="1" s="1"/>
  <c r="K17" i="1" s="1"/>
  <c r="J7" i="1"/>
  <c r="L7" i="1" s="1"/>
  <c r="K7" i="1" s="1"/>
  <c r="J13" i="1"/>
  <c r="L13" i="1" s="1"/>
  <c r="K13" i="1" s="1"/>
  <c r="J11" i="1"/>
  <c r="L11" i="1" s="1"/>
  <c r="K11" i="1" s="1"/>
  <c r="I37" i="1"/>
  <c r="I36" i="1"/>
  <c r="K36" i="1" s="1"/>
  <c r="I35" i="1"/>
  <c r="K35" i="1" s="1"/>
  <c r="S10" i="4" l="1"/>
  <c r="K3" i="1"/>
  <c r="K5" i="1"/>
  <c r="K9" i="1"/>
  <c r="K15" i="1"/>
  <c r="S11" i="4" l="1"/>
  <c r="S12" i="4" l="1"/>
  <c r="S13" i="4" l="1"/>
  <c r="S14" i="4" l="1"/>
  <c r="S15" i="4" l="1"/>
  <c r="S16" i="4" l="1"/>
  <c r="S17" i="4" l="1"/>
  <c r="S18" i="4" l="1"/>
  <c r="S19" i="4" l="1"/>
  <c r="S20" i="4" l="1"/>
  <c r="S21" i="4" l="1"/>
  <c r="S22" i="4" l="1"/>
  <c r="S23" i="4" l="1"/>
  <c r="S24" i="4" l="1"/>
  <c r="S2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Gabriel</author>
  </authors>
  <commentList>
    <comment ref="M24" authorId="0" shapeId="0" xr:uid="{8BF679D0-104F-4550-8EEC-9C5594AB29DD}">
      <text>
        <r>
          <rPr>
            <b/>
            <sz val="9"/>
            <color indexed="81"/>
            <rFont val="Segoe UI"/>
            <family val="2"/>
          </rPr>
          <t>Gabriel:</t>
        </r>
        <r>
          <rPr>
            <sz val="9"/>
            <color indexed="81"/>
            <rFont val="Segoe UI"/>
            <family val="2"/>
          </rPr>
          <t xml:space="preserve">
COZINHA</t>
        </r>
      </text>
    </comment>
  </commentList>
</comments>
</file>

<file path=xl/sharedStrings.xml><?xml version="1.0" encoding="utf-8"?>
<sst xmlns="http://schemas.openxmlformats.org/spreadsheetml/2006/main" count="455" uniqueCount="186">
  <si>
    <t>COORDENAÇÃO</t>
  </si>
  <si>
    <t>CIRCULAÇÃO DA PSICOPEDAGOGIA</t>
  </si>
  <si>
    <t>PSICOPEDAGOGIA</t>
  </si>
  <si>
    <t>SALA DE FUNCIONÁRIOS</t>
  </si>
  <si>
    <t>DIRETORIA</t>
  </si>
  <si>
    <t>CIRCULAÇÃO DA SALA DE MÚSICA</t>
  </si>
  <si>
    <t>SALA DE MÚSICA</t>
  </si>
  <si>
    <t>SALA DE ARTES</t>
  </si>
  <si>
    <t>CIRCULAÇÃO SALAS DE ATENDIMENTO</t>
  </si>
  <si>
    <t>ATENDIMENTO FONOAUDIOLÓGICO</t>
  </si>
  <si>
    <t>ATENDIMENTO PSICOLÓGICO</t>
  </si>
  <si>
    <t>ATENDIMENTO SERV. SOCIAL</t>
  </si>
  <si>
    <t>CIRCULAÇÃO SOROBAN</t>
  </si>
  <si>
    <t>SALA DE SOROBAN</t>
  </si>
  <si>
    <t>SALA DE ALFAB.</t>
  </si>
  <si>
    <t>SALA DE T.O.</t>
  </si>
  <si>
    <t>CIRCULAÇÃO SECRETARIA</t>
  </si>
  <si>
    <t>SECRETARIA</t>
  </si>
  <si>
    <t>SALA DE ORIENTAÇÃO E MOBILIDADE</t>
  </si>
  <si>
    <t>SALA DE PEVI</t>
  </si>
  <si>
    <t>BWC PEVI</t>
  </si>
  <si>
    <t>BIBLIOTECA</t>
  </si>
  <si>
    <t>COZINHA</t>
  </si>
  <si>
    <t>DESPENSA</t>
  </si>
  <si>
    <t>DML</t>
  </si>
  <si>
    <t>SALA DE FORMAÇÃO</t>
  </si>
  <si>
    <t>CIRCULAÇÃO SALA DE INFORMÁTICA</t>
  </si>
  <si>
    <t>SALA DE INFORMÁTICA</t>
  </si>
  <si>
    <t>SALA DE TRANSCRIÇÃO EM BRAILE</t>
  </si>
  <si>
    <t>BWC FEM</t>
  </si>
  <si>
    <t>BWC MASC</t>
  </si>
  <si>
    <t>PCD FEM</t>
  </si>
  <si>
    <t>PCD MASC</t>
  </si>
  <si>
    <t>LIXO</t>
  </si>
  <si>
    <t xml:space="preserve">ÁREA EXTERNA </t>
  </si>
  <si>
    <t>HALL ENTRADA</t>
  </si>
  <si>
    <t>AMBIENTE</t>
  </si>
  <si>
    <t>---</t>
  </si>
  <si>
    <t>QUANTIDADE MÍNIMA DE LUMINÁRIAS 2x36W</t>
  </si>
  <si>
    <t>QUANTIDADE MÍNIMA DE LUMINÁRIAS 1x36W</t>
  </si>
  <si>
    <t>FATOR DE MANUTENÇÃO (FM)</t>
  </si>
  <si>
    <t>FATOR DE UTILIZAÇÃO (U)</t>
  </si>
  <si>
    <t>ÍNDICE LOCAL (K)</t>
  </si>
  <si>
    <t>ÁREA (M²)</t>
  </si>
  <si>
    <t>PERÍMETRO (M)</t>
  </si>
  <si>
    <t>ILUMINÂNCIA MÉDIA (LUX)</t>
  </si>
  <si>
    <t>QUAL LUMINÁRIA USAR</t>
  </si>
  <si>
    <t>ESPECIAL</t>
  </si>
  <si>
    <t>CÁLCULO BTU</t>
  </si>
  <si>
    <t>QUANTIDADE DE PESSOAS</t>
  </si>
  <si>
    <t>QUANTIDADE DE EQUIPAMENTOS ELETRÔNICOS</t>
  </si>
  <si>
    <t>SPLIT</t>
  </si>
  <si>
    <t>QUANTIDADE DE TOMADAS</t>
  </si>
  <si>
    <t>PÁTIO COBERTO</t>
  </si>
  <si>
    <t>CIRCULAÇÃO PÁTIO ABERTO (2 INTER)</t>
  </si>
  <si>
    <t>SETOR DE DIVISÃO</t>
  </si>
  <si>
    <t>QUADRO DE CARGAS</t>
  </si>
  <si>
    <t>QGBT</t>
  </si>
  <si>
    <t>CIRC.</t>
  </si>
  <si>
    <t>DESCRIÇÃO</t>
  </si>
  <si>
    <t>ILUMINAÇÃO</t>
  </si>
  <si>
    <t>15 W</t>
  </si>
  <si>
    <t>1x36 W</t>
  </si>
  <si>
    <t>2x36 W</t>
  </si>
  <si>
    <t>TOMADAS</t>
  </si>
  <si>
    <t>300 W</t>
  </si>
  <si>
    <t>100 VA</t>
  </si>
  <si>
    <t>600 VA</t>
  </si>
  <si>
    <t>AR CONDICIONADO</t>
  </si>
  <si>
    <t>807 W</t>
  </si>
  <si>
    <t>1057 W</t>
  </si>
  <si>
    <t>1583 W</t>
  </si>
  <si>
    <t>2170 W</t>
  </si>
  <si>
    <t>2714 W</t>
  </si>
  <si>
    <t>POT. W</t>
  </si>
  <si>
    <t>POT. VA</t>
  </si>
  <si>
    <t>DEMANDA (%)</t>
  </si>
  <si>
    <t>FAT. POT.</t>
  </si>
  <si>
    <t>FASES</t>
  </si>
  <si>
    <t>COND. mm²</t>
  </si>
  <si>
    <t>FASES ABC</t>
  </si>
  <si>
    <t>Obs.</t>
  </si>
  <si>
    <t>Circuito de iluminação</t>
  </si>
  <si>
    <t>Circuito de tomadas</t>
  </si>
  <si>
    <r>
      <t xml:space="preserve">QD </t>
    </r>
    <r>
      <rPr>
        <i/>
        <sz val="11"/>
        <color theme="1"/>
        <rFont val="Calibri"/>
        <family val="2"/>
        <scheme val="minor"/>
      </rPr>
      <t>SPLITS</t>
    </r>
  </si>
  <si>
    <t>TOTAL</t>
  </si>
  <si>
    <t>ALIMENT.</t>
  </si>
  <si>
    <t>C= QT=2%</t>
  </si>
  <si>
    <t>QUADROS</t>
  </si>
  <si>
    <t>Ar condicionado</t>
  </si>
  <si>
    <r>
      <t xml:space="preserve">QD </t>
    </r>
    <r>
      <rPr>
        <b/>
        <i/>
        <sz val="12"/>
        <color theme="1"/>
        <rFont val="Calibri"/>
        <family val="2"/>
        <scheme val="minor"/>
      </rPr>
      <t>SPLITS</t>
    </r>
  </si>
  <si>
    <t>Sala da Psicopedagogia</t>
  </si>
  <si>
    <t>Sala dos Funcionários</t>
  </si>
  <si>
    <t>Sala do Fonoaudiólogo</t>
  </si>
  <si>
    <t>Sala do Psicólogo</t>
  </si>
  <si>
    <t>Sala do Serviço Social</t>
  </si>
  <si>
    <t>Sala de Música</t>
  </si>
  <si>
    <t>Sala de Artes</t>
  </si>
  <si>
    <t>Sala de Soroban</t>
  </si>
  <si>
    <t>Sala de Alfabetização</t>
  </si>
  <si>
    <t>Sala de T.O.</t>
  </si>
  <si>
    <t>Secretaria</t>
  </si>
  <si>
    <t>Coordenação</t>
  </si>
  <si>
    <t>Direção</t>
  </si>
  <si>
    <t>Sala de Orientação e Mobilidade</t>
  </si>
  <si>
    <t>Sala de PEVI</t>
  </si>
  <si>
    <t>Biblioteca</t>
  </si>
  <si>
    <t>Sala de Formação</t>
  </si>
  <si>
    <t>Sala de Informática</t>
  </si>
  <si>
    <t>Sala de Transcrição em Braile</t>
  </si>
  <si>
    <t>C=2,0m QT=2%</t>
  </si>
  <si>
    <t>A</t>
  </si>
  <si>
    <t>B</t>
  </si>
  <si>
    <t>C</t>
  </si>
  <si>
    <t>ARRED</t>
  </si>
  <si>
    <t>PROT.       A</t>
  </si>
  <si>
    <t>CORR.      A</t>
  </si>
  <si>
    <t>ABC</t>
  </si>
  <si>
    <t>10A</t>
  </si>
  <si>
    <t>16A</t>
  </si>
  <si>
    <t>80A</t>
  </si>
  <si>
    <t>20A</t>
  </si>
  <si>
    <t>36814 W</t>
  </si>
  <si>
    <t>PROT.      A</t>
  </si>
  <si>
    <t>6A</t>
  </si>
  <si>
    <t>QUEDA DE TENSÃO</t>
  </si>
  <si>
    <t>DELTA E</t>
  </si>
  <si>
    <t>COMP</t>
  </si>
  <si>
    <t>CABO</t>
  </si>
  <si>
    <t>QUANTIDADE</t>
  </si>
  <si>
    <t>ÁREA CABO</t>
  </si>
  <si>
    <t>TUBO</t>
  </si>
  <si>
    <t>ÁREA TUBO</t>
  </si>
  <si>
    <t>Toc</t>
  </si>
  <si>
    <t>125A</t>
  </si>
  <si>
    <t>Tomada média</t>
  </si>
  <si>
    <t>Luminária fluorescente 1x36W</t>
  </si>
  <si>
    <t>Tomada baixa</t>
  </si>
  <si>
    <t>Interruptor 1 seção</t>
  </si>
  <si>
    <t>Arandela tartaruga 15W</t>
  </si>
  <si>
    <t>Subestação</t>
  </si>
  <si>
    <t>Caixa de passagem no piso</t>
  </si>
  <si>
    <t>Luminária fluorescente 2x36W</t>
  </si>
  <si>
    <t>Interruptor 3 seções</t>
  </si>
  <si>
    <t>Tomada para split</t>
  </si>
  <si>
    <t>Quadro de distribuição</t>
  </si>
  <si>
    <t>Caixa de passagem no teto</t>
  </si>
  <si>
    <t>Interruptor 2 seções</t>
  </si>
  <si>
    <t>Disjuntor trifásico de 125A</t>
  </si>
  <si>
    <t>Disjuntor monofásico de 20A</t>
  </si>
  <si>
    <t>Disjuntor monofásico de 10A</t>
  </si>
  <si>
    <t>Disjuntor monofásico de 16A</t>
  </si>
  <si>
    <t>Disjuntor monofásico de 6A</t>
  </si>
  <si>
    <t>Disjuntor trifásico de 80A</t>
  </si>
  <si>
    <t>ITEM</t>
  </si>
  <si>
    <t>Luva rígido 2"</t>
  </si>
  <si>
    <t>Luva rígido 3/4"</t>
  </si>
  <si>
    <t>Curva 2"</t>
  </si>
  <si>
    <t>Curva 3/4"</t>
  </si>
  <si>
    <t>Eletroduto flexível 3/4" parede</t>
  </si>
  <si>
    <t>Eletroduto Rígido 2" piso</t>
  </si>
  <si>
    <t>Eletroduto Rígido 3/4" piso</t>
  </si>
  <si>
    <t>Eletroduto flexível 1" forro</t>
  </si>
  <si>
    <t>Eletroduto flexível 3/4" forro</t>
  </si>
  <si>
    <t>Eletroduto flexível 1.1/2" forro</t>
  </si>
  <si>
    <t>Eletroduto flexível 1" parede</t>
  </si>
  <si>
    <t>Eletroduto flexível 1.1/2" parede</t>
  </si>
  <si>
    <t>Caixa 4"x2" de passagem baixa</t>
  </si>
  <si>
    <t>Caixa 4"x2" de passagem média</t>
  </si>
  <si>
    <t>Caixa 4"x2" de passagem alta</t>
  </si>
  <si>
    <t>Caixa octogonal 3"x3"</t>
  </si>
  <si>
    <t>DPS</t>
  </si>
  <si>
    <t>Cabo flexível 25,0mm²</t>
  </si>
  <si>
    <t>Cabo flexível 35,0mm²</t>
  </si>
  <si>
    <t>Cabo flexível fase 2,5mm²</t>
  </si>
  <si>
    <t>Cabo flexível neutro 2,5mm²</t>
  </si>
  <si>
    <t>Cabo flexível terra 2,5mm²</t>
  </si>
  <si>
    <t>Cabo flexível retorno 2,5mm²</t>
  </si>
  <si>
    <t>Cabo flexível terra 4,0mm²</t>
  </si>
  <si>
    <t>Cabo flexível neutro 4,0mm²</t>
  </si>
  <si>
    <t>Cabo flexível fase 4,0mm²</t>
  </si>
  <si>
    <t>total 2,5</t>
  </si>
  <si>
    <t>total 4,0</t>
  </si>
  <si>
    <t>total 25,0</t>
  </si>
  <si>
    <t>total 35,0</t>
  </si>
  <si>
    <t>---&gt;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</si>
</sst>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2" fontId="0" fillId="0" borderId="1" xfId="0" quotePrefix="1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0" fillId="0" borderId="0" xfId="0" quotePrefix="1"/>
    <xf numFmtId="0" fontId="0" fillId="0" borderId="0" xfId="0" quotePrefix="1" applyNumberFormat="1"/>
    <xf numFmtId="0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opLeftCell="A22" workbookViewId="0">
      <selection activeCell="L40" sqref="L40"/>
    </sheetView>
  </sheetViews>
  <sheetFormatPr defaultRowHeight="15" x14ac:dyDescent="0.25"/>
  <cols>
    <col min="1" max="1" width="35.28515625" style="2" bestFit="1" customWidth="1"/>
    <col min="2" max="2" width="17.42578125" style="2" hidden="1" customWidth="1"/>
    <col min="3" max="3" width="9.140625" style="1"/>
    <col min="4" max="4" width="11.140625" style="1" customWidth="1"/>
    <col min="5" max="5" width="13.5703125" style="1" hidden="1" customWidth="1"/>
    <col min="6" max="10" width="17.140625" style="1" hidden="1" customWidth="1"/>
    <col min="11" max="11" width="8.42578125" style="1" customWidth="1"/>
    <col min="12" max="12" width="12" style="1" customWidth="1"/>
    <col min="13" max="13" width="13.140625" style="1" customWidth="1"/>
    <col min="14" max="14" width="13.140625" style="1" hidden="1" customWidth="1"/>
    <col min="15" max="15" width="15.85546875" style="1" hidden="1" customWidth="1"/>
    <col min="16" max="16" width="13.28515625" style="1" hidden="1" customWidth="1"/>
    <col min="17" max="17" width="14.28515625" style="1" bestFit="1" customWidth="1"/>
    <col min="18" max="16384" width="9.140625" style="1"/>
  </cols>
  <sheetData>
    <row r="1" spans="1:17" s="3" customFormat="1" ht="60" x14ac:dyDescent="0.25">
      <c r="A1" s="4" t="s">
        <v>36</v>
      </c>
      <c r="B1" s="4" t="s">
        <v>55</v>
      </c>
      <c r="C1" s="5" t="s">
        <v>43</v>
      </c>
      <c r="D1" s="5" t="s">
        <v>44</v>
      </c>
      <c r="E1" s="5" t="s">
        <v>45</v>
      </c>
      <c r="F1" s="5" t="s">
        <v>42</v>
      </c>
      <c r="G1" s="5" t="s">
        <v>41</v>
      </c>
      <c r="H1" s="5" t="s">
        <v>40</v>
      </c>
      <c r="I1" s="5" t="s">
        <v>38</v>
      </c>
      <c r="J1" s="5" t="s">
        <v>39</v>
      </c>
      <c r="K1" s="27" t="s">
        <v>46</v>
      </c>
      <c r="L1" s="28"/>
      <c r="M1" s="5" t="s">
        <v>52</v>
      </c>
      <c r="N1" s="5" t="s">
        <v>49</v>
      </c>
      <c r="O1" s="5" t="s">
        <v>50</v>
      </c>
      <c r="P1" s="4" t="s">
        <v>48</v>
      </c>
      <c r="Q1" s="4" t="s">
        <v>51</v>
      </c>
    </row>
    <row r="2" spans="1:17" s="3" customFormat="1" x14ac:dyDescent="0.25">
      <c r="A2" s="4"/>
      <c r="B2" s="4"/>
      <c r="C2" s="6"/>
      <c r="D2" s="6"/>
      <c r="E2" s="6"/>
      <c r="F2" s="6"/>
      <c r="G2" s="6"/>
      <c r="H2" s="6"/>
      <c r="I2" s="6"/>
      <c r="J2" s="6"/>
      <c r="K2" s="12"/>
      <c r="L2" s="13"/>
      <c r="M2" s="6"/>
      <c r="N2" s="6"/>
      <c r="O2" s="6"/>
      <c r="P2" s="4"/>
      <c r="Q2" s="4"/>
    </row>
    <row r="3" spans="1:17" x14ac:dyDescent="0.25">
      <c r="A3" s="14" t="s">
        <v>0</v>
      </c>
      <c r="B3" s="14">
        <v>1</v>
      </c>
      <c r="C3" s="8">
        <v>15.78</v>
      </c>
      <c r="D3" s="8">
        <v>16.399999999999999</v>
      </c>
      <c r="E3" s="8">
        <v>300</v>
      </c>
      <c r="F3" s="9">
        <f t="shared" ref="F3:F39" si="0">$C$3/(2.8*2*SQRT($C$3))</f>
        <v>0.70935800235861446</v>
      </c>
      <c r="G3" s="9">
        <f t="shared" ref="G3:G39" si="1">IF(F3&lt;=0.6,0.32,IF(F3&lt;=0.8,0.38,IF(F3&lt;=1,0.42,IF(F3&lt;=1.25,0.46,IF(F3&lt;=1.5,0.48,IF(F3&lt;=2,0.52,IF(F3&lt;=2.5,0.54,IF(F3&lt;=3,0.56,IF(F3&lt;=4,0.57,IF(F3&lt;=5,0.58,"ERRO"))))))))))</f>
        <v>0.38</v>
      </c>
      <c r="H3" s="9">
        <v>0.85</v>
      </c>
      <c r="I3" s="9">
        <f t="shared" ref="I3:I39" si="2">(E3*C3)/(2*2500*G3*H3)</f>
        <v>2.9312693498452012</v>
      </c>
      <c r="J3" s="9">
        <f t="shared" ref="J3:J39" si="3">(E3*C3)/(1*2500*G3*H3)</f>
        <v>5.8625386996904023</v>
      </c>
      <c r="K3" s="9">
        <f>IF(L3="1x36W",ROUNDUP(J3,0),IF(L3="2x36W",ROUNDUP(I3,0),"ERRO"))</f>
        <v>3</v>
      </c>
      <c r="L3" s="8" t="str">
        <f t="shared" ref="L3:L39" si="4">IF(J3&lt;=1,"1x36W","2x36W")</f>
        <v>2x36W</v>
      </c>
      <c r="M3" s="8">
        <f>ROUNDUP(D3/5,0)</f>
        <v>4</v>
      </c>
      <c r="N3" s="8">
        <v>6</v>
      </c>
      <c r="O3" s="8">
        <v>2</v>
      </c>
      <c r="P3" s="8">
        <f>C3*600+N3*600+O3*600</f>
        <v>14268</v>
      </c>
      <c r="Q3" s="8" t="str">
        <f>IF(P3&lt;=9000,"9.000 BTUs",IF(P3&lt;=12000,"12.000 BTUs",IF(P3&lt;=18000,"18.000 BTUs",IF(P3&lt;=24000,"24.000 BTUs",IF(P3&lt;=30000,"30.000 BTUs",IF(P3&lt;=48000,"2 x 24.000 BTUs",IF(P3&lt;=60000,"2 x 30.000 BTUs","VERIFICAR")))))))</f>
        <v>18.000 BTUs</v>
      </c>
    </row>
    <row r="4" spans="1:17" x14ac:dyDescent="0.25">
      <c r="A4" s="14" t="s">
        <v>1</v>
      </c>
      <c r="B4" s="14">
        <v>1</v>
      </c>
      <c r="C4" s="8">
        <v>3.85</v>
      </c>
      <c r="D4" s="10" t="s">
        <v>37</v>
      </c>
      <c r="E4" s="10">
        <v>100</v>
      </c>
      <c r="F4" s="9">
        <f t="shared" si="0"/>
        <v>0.70935800235861446</v>
      </c>
      <c r="G4" s="9">
        <f t="shared" si="1"/>
        <v>0.38</v>
      </c>
      <c r="H4" s="9">
        <v>0.85</v>
      </c>
      <c r="I4" s="9">
        <f t="shared" si="2"/>
        <v>0.23839009287925697</v>
      </c>
      <c r="J4" s="9">
        <f t="shared" si="3"/>
        <v>0.47678018575851394</v>
      </c>
      <c r="K4" s="9">
        <f>IF(L4="1x36W",ROUNDUP(J4,0),IF(L4="2x36W",ROUNDUP(I4,0),"ERRO"))</f>
        <v>1</v>
      </c>
      <c r="L4" s="8" t="str">
        <f t="shared" si="4"/>
        <v>1x36W</v>
      </c>
      <c r="M4" s="10" t="s">
        <v>37</v>
      </c>
      <c r="N4" s="10" t="s">
        <v>37</v>
      </c>
      <c r="O4" s="10" t="s">
        <v>37</v>
      </c>
      <c r="P4" s="10" t="s">
        <v>37</v>
      </c>
      <c r="Q4" s="10" t="s">
        <v>37</v>
      </c>
    </row>
    <row r="5" spans="1:17" x14ac:dyDescent="0.25">
      <c r="A5" s="14" t="s">
        <v>2</v>
      </c>
      <c r="B5" s="14">
        <v>1</v>
      </c>
      <c r="C5" s="8">
        <v>9.5399999999999991</v>
      </c>
      <c r="D5" s="8">
        <v>12.57</v>
      </c>
      <c r="E5" s="8">
        <v>300</v>
      </c>
      <c r="F5" s="9">
        <f t="shared" si="0"/>
        <v>0.70935800235861446</v>
      </c>
      <c r="G5" s="9">
        <f t="shared" si="1"/>
        <v>0.38</v>
      </c>
      <c r="H5" s="9">
        <v>0.85</v>
      </c>
      <c r="I5" s="9">
        <f t="shared" si="2"/>
        <v>1.7721362229102164</v>
      </c>
      <c r="J5" s="9">
        <f t="shared" si="3"/>
        <v>3.5442724458204329</v>
      </c>
      <c r="K5" s="9">
        <f>IF(L5="1x36W",ROUNDUP(J5,0),IF(L5="2x36W",ROUNDUP(I5,0),"ERRO"))</f>
        <v>2</v>
      </c>
      <c r="L5" s="8" t="str">
        <f t="shared" si="4"/>
        <v>2x36W</v>
      </c>
      <c r="M5" s="8">
        <f>ROUNDUP(D5/5,0)</f>
        <v>3</v>
      </c>
      <c r="N5" s="8">
        <v>3</v>
      </c>
      <c r="O5" s="8">
        <v>1</v>
      </c>
      <c r="P5" s="8">
        <f>C5*600+N5*600+O5*600</f>
        <v>8123.9999999999991</v>
      </c>
      <c r="Q5" s="8" t="str">
        <f>IF(P5&lt;=9000,"9.000 BTUs",IF(P5&lt;=12000,"12.000 BTUs",IF(P5&lt;=18000,"18.000 BTUs",IF(P5&lt;=24000,"24.000 BTUs",IF(P5&lt;=30000,"30.000 BTUs",IF(P5&lt;=48000,"2 x 24.000 BTUs",IF(P5&lt;=60000,"2 x 30.000 BTUs","VERIFICAR")))))))</f>
        <v>9.000 BTUs</v>
      </c>
    </row>
    <row r="6" spans="1:17" x14ac:dyDescent="0.25">
      <c r="A6" s="14" t="s">
        <v>3</v>
      </c>
      <c r="B6" s="14">
        <v>1</v>
      </c>
      <c r="C6" s="8">
        <v>27.38</v>
      </c>
      <c r="D6" s="8">
        <v>20.93</v>
      </c>
      <c r="E6" s="8">
        <v>300</v>
      </c>
      <c r="F6" s="9">
        <f t="shared" si="0"/>
        <v>0.70935800235861446</v>
      </c>
      <c r="G6" s="9">
        <f t="shared" si="1"/>
        <v>0.38</v>
      </c>
      <c r="H6" s="9">
        <v>0.85</v>
      </c>
      <c r="I6" s="9">
        <f t="shared" si="2"/>
        <v>5.0860681114551083</v>
      </c>
      <c r="J6" s="9">
        <f t="shared" si="3"/>
        <v>10.172136222910217</v>
      </c>
      <c r="K6" s="9">
        <v>6</v>
      </c>
      <c r="L6" s="8" t="str">
        <f t="shared" si="4"/>
        <v>2x36W</v>
      </c>
      <c r="M6" s="8">
        <f>ROUNDUP(D6/5,0)</f>
        <v>5</v>
      </c>
      <c r="N6" s="8">
        <v>10</v>
      </c>
      <c r="O6" s="8">
        <v>2</v>
      </c>
      <c r="P6" s="8">
        <f>C6*600+N6*600+O6*600</f>
        <v>23628</v>
      </c>
      <c r="Q6" s="8" t="str">
        <f>IF(P6&lt;=9000,"9.000 BTUs",IF(P6&lt;=12000,"12.000 BTUs",IF(P6&lt;=18000,"18.000 BTUs",IF(P6&lt;=24000,"24.000 BTUs",IF(P6&lt;=30000,"30.000 BTUs",IF(P6&lt;=48000,"2 x 24.000 BTUs",IF(P6&lt;=60000,"2 x 30.000 BTUs","VERIFICAR")))))))</f>
        <v>24.000 BTUs</v>
      </c>
    </row>
    <row r="7" spans="1:17" x14ac:dyDescent="0.25">
      <c r="A7" s="14" t="s">
        <v>8</v>
      </c>
      <c r="B7" s="14">
        <v>1</v>
      </c>
      <c r="C7" s="8">
        <v>7.75</v>
      </c>
      <c r="D7" s="10" t="s">
        <v>37</v>
      </c>
      <c r="E7" s="10">
        <v>100</v>
      </c>
      <c r="F7" s="9">
        <f t="shared" si="0"/>
        <v>0.70935800235861446</v>
      </c>
      <c r="G7" s="9">
        <f t="shared" si="1"/>
        <v>0.38</v>
      </c>
      <c r="H7" s="9">
        <v>0.85</v>
      </c>
      <c r="I7" s="9">
        <f t="shared" si="2"/>
        <v>0.47987616099071206</v>
      </c>
      <c r="J7" s="9">
        <f t="shared" si="3"/>
        <v>0.95975232198142413</v>
      </c>
      <c r="K7" s="9">
        <f>IF(L7="1x36W",ROUNDUP(J7,0),IF(L7="2x36W",ROUNDUP(I7,0),"ERRO"))</f>
        <v>1</v>
      </c>
      <c r="L7" s="8" t="str">
        <f t="shared" si="4"/>
        <v>1x36W</v>
      </c>
      <c r="M7" s="10" t="s">
        <v>37</v>
      </c>
      <c r="N7" s="10" t="s">
        <v>37</v>
      </c>
      <c r="O7" s="10" t="s">
        <v>37</v>
      </c>
      <c r="P7" s="10" t="s">
        <v>37</v>
      </c>
      <c r="Q7" s="10" t="s">
        <v>37</v>
      </c>
    </row>
    <row r="8" spans="1:17" x14ac:dyDescent="0.25">
      <c r="A8" s="14" t="s">
        <v>9</v>
      </c>
      <c r="B8" s="14">
        <v>1</v>
      </c>
      <c r="C8" s="8">
        <v>9.7899999999999991</v>
      </c>
      <c r="D8" s="8">
        <v>12.77</v>
      </c>
      <c r="E8" s="8">
        <v>300</v>
      </c>
      <c r="F8" s="9">
        <f t="shared" si="0"/>
        <v>0.70935800235861446</v>
      </c>
      <c r="G8" s="9">
        <f t="shared" si="1"/>
        <v>0.38</v>
      </c>
      <c r="H8" s="9">
        <v>0.85</v>
      </c>
      <c r="I8" s="9">
        <f t="shared" si="2"/>
        <v>1.8185758513931887</v>
      </c>
      <c r="J8" s="9">
        <f t="shared" si="3"/>
        <v>3.6371517027863773</v>
      </c>
      <c r="K8" s="9">
        <f>IF(L8="1x36W",ROUNDUP(J8,0),IF(L8="2x36W",ROUNDUP(I8,0),"ERRO"))</f>
        <v>2</v>
      </c>
      <c r="L8" s="8" t="str">
        <f t="shared" si="4"/>
        <v>2x36W</v>
      </c>
      <c r="M8" s="8">
        <f>ROUNDUP(D8/5,0)</f>
        <v>3</v>
      </c>
      <c r="N8" s="8">
        <v>3</v>
      </c>
      <c r="O8" s="8">
        <v>2</v>
      </c>
      <c r="P8" s="8">
        <f>C8*600+N8*600+O8*600</f>
        <v>8874</v>
      </c>
      <c r="Q8" s="8" t="str">
        <f>IF(P8&lt;=9000,"9.000 BTUs",IF(P8&lt;=12000,"12.000 BTUs",IF(P8&lt;=18000,"18.000 BTUs",IF(P8&lt;=24000,"24.000 BTUs",IF(P8&lt;=30000,"30.000 BTUs",IF(P8&lt;=48000,"2 x 24.000 BTUs",IF(P8&lt;=60000,"2 x 30.000 BTUs","VERIFICAR")))))))</f>
        <v>9.000 BTUs</v>
      </c>
    </row>
    <row r="9" spans="1:17" x14ac:dyDescent="0.25">
      <c r="A9" s="14" t="s">
        <v>10</v>
      </c>
      <c r="B9" s="14">
        <v>1</v>
      </c>
      <c r="C9" s="8">
        <v>9.64</v>
      </c>
      <c r="D9" s="8">
        <v>12.68</v>
      </c>
      <c r="E9" s="8">
        <v>300</v>
      </c>
      <c r="F9" s="9">
        <f t="shared" si="0"/>
        <v>0.70935800235861446</v>
      </c>
      <c r="G9" s="9">
        <f t="shared" si="1"/>
        <v>0.38</v>
      </c>
      <c r="H9" s="9">
        <v>0.85</v>
      </c>
      <c r="I9" s="9">
        <f t="shared" si="2"/>
        <v>1.7907120743034055</v>
      </c>
      <c r="J9" s="9">
        <f t="shared" si="3"/>
        <v>3.581424148606811</v>
      </c>
      <c r="K9" s="9">
        <f>IF(L9="1x36W",ROUNDUP(J9,0),IF(L9="2x36W",ROUNDUP(I9,0),"ERRO"))</f>
        <v>2</v>
      </c>
      <c r="L9" s="8" t="str">
        <f t="shared" si="4"/>
        <v>2x36W</v>
      </c>
      <c r="M9" s="8">
        <f>ROUNDUP(D9/5,0)</f>
        <v>3</v>
      </c>
      <c r="N9" s="8">
        <v>3</v>
      </c>
      <c r="O9" s="8">
        <v>2</v>
      </c>
      <c r="P9" s="8">
        <f>C9*600+N9*600+O9*600</f>
        <v>8784</v>
      </c>
      <c r="Q9" s="8" t="str">
        <f>IF(P9&lt;=9000,"9.000 BTUs",IF(P9&lt;=12000,"12.000 BTUs",IF(P9&lt;=18000,"18.000 BTUs",IF(P9&lt;=24000,"24.000 BTUs",IF(P9&lt;=30000,"30.000 BTUs",IF(P9&lt;=48000,"2 x 24.000 BTUs",IF(P9&lt;=60000,"2 x 30.000 BTUs","VERIFICAR")))))))</f>
        <v>9.000 BTUs</v>
      </c>
    </row>
    <row r="10" spans="1:17" x14ac:dyDescent="0.25">
      <c r="A10" s="14" t="s">
        <v>11</v>
      </c>
      <c r="B10" s="14">
        <v>1</v>
      </c>
      <c r="C10" s="8">
        <v>13.84</v>
      </c>
      <c r="D10" s="8">
        <v>15.92</v>
      </c>
      <c r="E10" s="8">
        <v>300</v>
      </c>
      <c r="F10" s="9">
        <f t="shared" si="0"/>
        <v>0.70935800235861446</v>
      </c>
      <c r="G10" s="9">
        <f t="shared" si="1"/>
        <v>0.38</v>
      </c>
      <c r="H10" s="9">
        <v>0.85</v>
      </c>
      <c r="I10" s="9">
        <f t="shared" si="2"/>
        <v>2.5708978328173373</v>
      </c>
      <c r="J10" s="9">
        <f t="shared" si="3"/>
        <v>5.1417956656346746</v>
      </c>
      <c r="K10" s="9">
        <f>IF(L10="1x36W",ROUNDUP(J10,0),IF(L10="2x36W",ROUNDUP(I10,0),"ERRO"))</f>
        <v>3</v>
      </c>
      <c r="L10" s="8" t="str">
        <f t="shared" si="4"/>
        <v>2x36W</v>
      </c>
      <c r="M10" s="8">
        <f>ROUNDUP(D10/5,0)</f>
        <v>4</v>
      </c>
      <c r="N10" s="8">
        <v>3</v>
      </c>
      <c r="O10" s="8">
        <v>2</v>
      </c>
      <c r="P10" s="8">
        <f>C10*600+N10*600+O10*600</f>
        <v>11304</v>
      </c>
      <c r="Q10" s="8" t="str">
        <f>IF(P10&lt;=9000,"9.000 BTUs",IF(P10&lt;=12000,"12.000 BTUs",IF(P10&lt;=18000,"18.000 BTUs",IF(P10&lt;=24000,"24.000 BTUs",IF(P10&lt;=30000,"30.000 BTUs",IF(P10&lt;=48000,"2 x 24.000 BTUs",IF(P10&lt;=60000,"2 x 30.000 BTUs","VERIFICAR")))))))</f>
        <v>12.000 BTUs</v>
      </c>
    </row>
    <row r="11" spans="1:17" x14ac:dyDescent="0.25">
      <c r="A11" s="14" t="s">
        <v>4</v>
      </c>
      <c r="B11" s="14">
        <v>2</v>
      </c>
      <c r="C11" s="8">
        <v>15.78</v>
      </c>
      <c r="D11" s="8">
        <v>16.399999999999999</v>
      </c>
      <c r="E11" s="8">
        <v>300</v>
      </c>
      <c r="F11" s="9">
        <f t="shared" si="0"/>
        <v>0.70935800235861446</v>
      </c>
      <c r="G11" s="9">
        <f t="shared" si="1"/>
        <v>0.38</v>
      </c>
      <c r="H11" s="9">
        <v>0.85</v>
      </c>
      <c r="I11" s="9">
        <f t="shared" si="2"/>
        <v>2.9312693498452012</v>
      </c>
      <c r="J11" s="9">
        <f t="shared" si="3"/>
        <v>5.8625386996904023</v>
      </c>
      <c r="K11" s="9">
        <f>IF(L11="1x36W",ROUNDUP(J11,0),IF(L11="2x36W",ROUNDUP(I11,0),"ERRO"))</f>
        <v>3</v>
      </c>
      <c r="L11" s="8" t="str">
        <f t="shared" si="4"/>
        <v>2x36W</v>
      </c>
      <c r="M11" s="8">
        <f>ROUNDUP(D11/5,0)</f>
        <v>4</v>
      </c>
      <c r="N11" s="8">
        <v>5</v>
      </c>
      <c r="O11" s="8">
        <v>2</v>
      </c>
      <c r="P11" s="8">
        <f>C11*600+N11*600+O11*600</f>
        <v>13668</v>
      </c>
      <c r="Q11" s="8" t="str">
        <f>IF(P11&lt;=9000,"9.000 BTUs",IF(P11&lt;=12000,"12.000 BTUs",IF(P11&lt;=18000,"18.000 BTUs",IF(P11&lt;=24000,"24.000 BTUs",IF(P11&lt;=30000,"30.000 BTUs",IF(P11&lt;=48000,"2 x 24.000 BTUs",IF(P11&lt;=60000,"2 x 30.000 BTUs","VERIFICAR")))))))</f>
        <v>18.000 BTUs</v>
      </c>
    </row>
    <row r="12" spans="1:17" x14ac:dyDescent="0.25">
      <c r="A12" s="14" t="s">
        <v>5</v>
      </c>
      <c r="B12" s="14">
        <v>2</v>
      </c>
      <c r="C12" s="8">
        <v>6.24</v>
      </c>
      <c r="D12" s="10" t="s">
        <v>37</v>
      </c>
      <c r="E12" s="10">
        <v>300</v>
      </c>
      <c r="F12" s="9">
        <f t="shared" si="0"/>
        <v>0.70935800235861446</v>
      </c>
      <c r="G12" s="9">
        <f t="shared" si="1"/>
        <v>0.38</v>
      </c>
      <c r="H12" s="9">
        <v>0.85</v>
      </c>
      <c r="I12" s="9">
        <f t="shared" si="2"/>
        <v>1.1591331269349845</v>
      </c>
      <c r="J12" s="9">
        <f t="shared" si="3"/>
        <v>2.318266253869969</v>
      </c>
      <c r="K12" s="9">
        <v>1</v>
      </c>
      <c r="L12" s="8" t="str">
        <f t="shared" si="4"/>
        <v>2x36W</v>
      </c>
      <c r="M12" s="10" t="s">
        <v>37</v>
      </c>
      <c r="N12" s="10" t="s">
        <v>37</v>
      </c>
      <c r="O12" s="10" t="s">
        <v>37</v>
      </c>
      <c r="P12" s="10" t="s">
        <v>37</v>
      </c>
      <c r="Q12" s="10" t="s">
        <v>37</v>
      </c>
    </row>
    <row r="13" spans="1:17" x14ac:dyDescent="0.25">
      <c r="A13" s="14" t="s">
        <v>6</v>
      </c>
      <c r="B13" s="14">
        <v>2</v>
      </c>
      <c r="C13" s="8">
        <v>15.47</v>
      </c>
      <c r="D13" s="8">
        <v>15.76</v>
      </c>
      <c r="E13" s="8">
        <v>300</v>
      </c>
      <c r="F13" s="9">
        <f t="shared" si="0"/>
        <v>0.70935800235861446</v>
      </c>
      <c r="G13" s="9">
        <f t="shared" si="1"/>
        <v>0.38</v>
      </c>
      <c r="H13" s="9">
        <v>0.85</v>
      </c>
      <c r="I13" s="9">
        <f t="shared" si="2"/>
        <v>2.8736842105263158</v>
      </c>
      <c r="J13" s="9">
        <f t="shared" si="3"/>
        <v>5.7473684210526317</v>
      </c>
      <c r="K13" s="9">
        <f>IF(L13="1x36W",ROUNDUP(J13,0),IF(L13="2x36W",ROUNDUP(I13,0),"ERRO"))</f>
        <v>3</v>
      </c>
      <c r="L13" s="8" t="str">
        <f t="shared" si="4"/>
        <v>2x36W</v>
      </c>
      <c r="M13" s="8">
        <f>ROUNDUP(D13/5,0)</f>
        <v>4</v>
      </c>
      <c r="N13" s="8">
        <v>5</v>
      </c>
      <c r="O13" s="8">
        <v>2</v>
      </c>
      <c r="P13" s="8">
        <f>C13*600+N13*600+O13*600</f>
        <v>13482</v>
      </c>
      <c r="Q13" s="8" t="str">
        <f>IF(P13&lt;=9000,"9.000 BTUs",IF(P13&lt;=12000,"12.000 BTUs",IF(P13&lt;=18000,"18.000 BTUs",IF(P13&lt;=24000,"24.000 BTUs",IF(P13&lt;=30000,"30.000 BTUs",IF(P13&lt;=48000,"2 x 24.000 BTUs",IF(P13&lt;=60000,"2 x 30.000 BTUs","VERIFICAR")))))))</f>
        <v>18.000 BTUs</v>
      </c>
    </row>
    <row r="14" spans="1:17" x14ac:dyDescent="0.25">
      <c r="A14" s="14" t="s">
        <v>7</v>
      </c>
      <c r="B14" s="14">
        <v>2</v>
      </c>
      <c r="C14" s="8">
        <v>18.920000000000002</v>
      </c>
      <c r="D14" s="8">
        <v>17.739999999999998</v>
      </c>
      <c r="E14" s="8">
        <v>300</v>
      </c>
      <c r="F14" s="9">
        <f t="shared" si="0"/>
        <v>0.70935800235861446</v>
      </c>
      <c r="G14" s="9">
        <f t="shared" si="1"/>
        <v>0.38</v>
      </c>
      <c r="H14" s="9">
        <v>0.85</v>
      </c>
      <c r="I14" s="9">
        <f t="shared" si="2"/>
        <v>3.5145510835913316</v>
      </c>
      <c r="J14" s="9">
        <f t="shared" si="3"/>
        <v>7.0291021671826632</v>
      </c>
      <c r="K14" s="9">
        <v>4</v>
      </c>
      <c r="L14" s="8" t="str">
        <f t="shared" si="4"/>
        <v>2x36W</v>
      </c>
      <c r="M14" s="8">
        <f>ROUNDUP(D14/5,0)</f>
        <v>4</v>
      </c>
      <c r="N14" s="8">
        <v>6</v>
      </c>
      <c r="O14" s="8">
        <v>2</v>
      </c>
      <c r="P14" s="8">
        <f>C14*600+N14*600+O14*600</f>
        <v>16152.000000000002</v>
      </c>
      <c r="Q14" s="8" t="str">
        <f>IF(P14&lt;=9000,"9.000 BTUs",IF(P14&lt;=12000,"12.000 BTUs",IF(P14&lt;=18000,"18.000 BTUs",IF(P14&lt;=24000,"24.000 BTUs",IF(P14&lt;=30000,"30.000 BTUs",IF(P14&lt;=48000,"2 x 24.000 BTUs",IF(P14&lt;=60000,"2 x 30.000 BTUs","VERIFICAR")))))))</f>
        <v>18.000 BTUs</v>
      </c>
    </row>
    <row r="15" spans="1:17" x14ac:dyDescent="0.25">
      <c r="A15" s="14" t="s">
        <v>12</v>
      </c>
      <c r="B15" s="14">
        <v>2</v>
      </c>
      <c r="C15" s="8">
        <v>7.75</v>
      </c>
      <c r="D15" s="10" t="s">
        <v>37</v>
      </c>
      <c r="E15" s="10">
        <v>100</v>
      </c>
      <c r="F15" s="9">
        <f t="shared" si="0"/>
        <v>0.70935800235861446</v>
      </c>
      <c r="G15" s="9">
        <f t="shared" si="1"/>
        <v>0.38</v>
      </c>
      <c r="H15" s="9">
        <v>0.85</v>
      </c>
      <c r="I15" s="9">
        <f t="shared" si="2"/>
        <v>0.47987616099071206</v>
      </c>
      <c r="J15" s="9">
        <f t="shared" si="3"/>
        <v>0.95975232198142413</v>
      </c>
      <c r="K15" s="9">
        <f>IF(L15="1x36W",ROUNDUP(J15,0),IF(L15="2x36W",ROUNDUP(I15,0),"ERRO"))</f>
        <v>1</v>
      </c>
      <c r="L15" s="8" t="str">
        <f t="shared" si="4"/>
        <v>1x36W</v>
      </c>
      <c r="M15" s="10" t="s">
        <v>37</v>
      </c>
      <c r="N15" s="10" t="s">
        <v>37</v>
      </c>
      <c r="O15" s="10" t="s">
        <v>37</v>
      </c>
      <c r="P15" s="10" t="s">
        <v>37</v>
      </c>
      <c r="Q15" s="10" t="s">
        <v>37</v>
      </c>
    </row>
    <row r="16" spans="1:17" x14ac:dyDescent="0.25">
      <c r="A16" s="14" t="s">
        <v>13</v>
      </c>
      <c r="B16" s="14">
        <v>2</v>
      </c>
      <c r="C16" s="8">
        <v>9.7899999999999991</v>
      </c>
      <c r="D16" s="8">
        <v>12.77</v>
      </c>
      <c r="E16" s="8">
        <v>300</v>
      </c>
      <c r="F16" s="9">
        <f t="shared" si="0"/>
        <v>0.70935800235861446</v>
      </c>
      <c r="G16" s="9">
        <f t="shared" si="1"/>
        <v>0.38</v>
      </c>
      <c r="H16" s="9">
        <v>0.85</v>
      </c>
      <c r="I16" s="9">
        <f t="shared" si="2"/>
        <v>1.8185758513931887</v>
      </c>
      <c r="J16" s="9">
        <f t="shared" si="3"/>
        <v>3.6371517027863773</v>
      </c>
      <c r="K16" s="9">
        <f>IF(L16="1x36W",ROUNDUP(J16,0),IF(L16="2x36W",ROUNDUP(I16,0),"ERRO"))</f>
        <v>2</v>
      </c>
      <c r="L16" s="8" t="str">
        <f t="shared" si="4"/>
        <v>2x36W</v>
      </c>
      <c r="M16" s="8">
        <f>ROUNDUP(D16/5,0)</f>
        <v>3</v>
      </c>
      <c r="N16" s="8">
        <v>6</v>
      </c>
      <c r="O16" s="8">
        <v>2</v>
      </c>
      <c r="P16" s="8">
        <f t="shared" ref="P16:P21" si="5">C16*600+N16*600+O16*600</f>
        <v>10674</v>
      </c>
      <c r="Q16" s="8" t="str">
        <f t="shared" ref="Q16:Q21" si="6">IF(P16&lt;=9000,"9.000 BTUs",IF(P16&lt;=12000,"12.000 BTUs",IF(P16&lt;=18000,"18.000 BTUs",IF(P16&lt;=24000,"24.000 BTUs",IF(P16&lt;=30000,"30.000 BTUs",IF(P16&lt;=48000,"2 x 24.000 BTUs",IF(P16&lt;=60000,"2 x 30.000 BTUs","VERIFICAR")))))))</f>
        <v>12.000 BTUs</v>
      </c>
    </row>
    <row r="17" spans="1:17" x14ac:dyDescent="0.25">
      <c r="A17" s="14" t="s">
        <v>14</v>
      </c>
      <c r="B17" s="14">
        <v>2</v>
      </c>
      <c r="C17" s="8">
        <v>9.64</v>
      </c>
      <c r="D17" s="8">
        <v>12.67</v>
      </c>
      <c r="E17" s="8">
        <v>300</v>
      </c>
      <c r="F17" s="9">
        <f t="shared" si="0"/>
        <v>0.70935800235861446</v>
      </c>
      <c r="G17" s="9">
        <f t="shared" si="1"/>
        <v>0.38</v>
      </c>
      <c r="H17" s="9">
        <v>0.85</v>
      </c>
      <c r="I17" s="9">
        <f t="shared" si="2"/>
        <v>1.7907120743034055</v>
      </c>
      <c r="J17" s="9">
        <f t="shared" si="3"/>
        <v>3.581424148606811</v>
      </c>
      <c r="K17" s="9">
        <f>IF(L17="1x36W",ROUNDUP(J17,0),IF(L17="2x36W",ROUNDUP(I17,0),"ERRO"))</f>
        <v>2</v>
      </c>
      <c r="L17" s="8" t="str">
        <f t="shared" si="4"/>
        <v>2x36W</v>
      </c>
      <c r="M17" s="8">
        <f>ROUNDUP(D17/5,0)</f>
        <v>3</v>
      </c>
      <c r="N17" s="8">
        <v>6</v>
      </c>
      <c r="O17" s="8">
        <v>2</v>
      </c>
      <c r="P17" s="8">
        <f t="shared" si="5"/>
        <v>10584</v>
      </c>
      <c r="Q17" s="8" t="str">
        <f t="shared" si="6"/>
        <v>12.000 BTUs</v>
      </c>
    </row>
    <row r="18" spans="1:17" x14ac:dyDescent="0.25">
      <c r="A18" s="14" t="s">
        <v>15</v>
      </c>
      <c r="B18" s="14">
        <v>2</v>
      </c>
      <c r="C18" s="8">
        <v>13.84</v>
      </c>
      <c r="D18" s="8">
        <v>15.92</v>
      </c>
      <c r="E18" s="8">
        <v>300</v>
      </c>
      <c r="F18" s="9">
        <f t="shared" si="0"/>
        <v>0.70935800235861446</v>
      </c>
      <c r="G18" s="9">
        <f t="shared" si="1"/>
        <v>0.38</v>
      </c>
      <c r="H18" s="9">
        <v>0.85</v>
      </c>
      <c r="I18" s="9">
        <f t="shared" si="2"/>
        <v>2.5708978328173373</v>
      </c>
      <c r="J18" s="9">
        <f t="shared" si="3"/>
        <v>5.1417956656346746</v>
      </c>
      <c r="K18" s="9">
        <f>IF(L18="1x36W",ROUNDUP(J18,0),IF(L18="2x36W",ROUNDUP(I18,0),"ERRO"))</f>
        <v>3</v>
      </c>
      <c r="L18" s="8" t="str">
        <f t="shared" si="4"/>
        <v>2x36W</v>
      </c>
      <c r="M18" s="8">
        <f>ROUNDUP(D18/5,0)</f>
        <v>4</v>
      </c>
      <c r="N18" s="8">
        <v>3</v>
      </c>
      <c r="O18" s="8">
        <v>2</v>
      </c>
      <c r="P18" s="8">
        <f t="shared" si="5"/>
        <v>11304</v>
      </c>
      <c r="Q18" s="8" t="str">
        <f t="shared" si="6"/>
        <v>12.000 BTUs</v>
      </c>
    </row>
    <row r="19" spans="1:17" x14ac:dyDescent="0.25">
      <c r="A19" s="14" t="s">
        <v>17</v>
      </c>
      <c r="B19" s="14">
        <v>3</v>
      </c>
      <c r="C19" s="8">
        <v>32.9</v>
      </c>
      <c r="D19" s="8">
        <v>23.1</v>
      </c>
      <c r="E19" s="8">
        <v>300</v>
      </c>
      <c r="F19" s="9">
        <f t="shared" si="0"/>
        <v>0.70935800235861446</v>
      </c>
      <c r="G19" s="9">
        <f t="shared" si="1"/>
        <v>0.38</v>
      </c>
      <c r="H19" s="9">
        <v>0.85</v>
      </c>
      <c r="I19" s="9">
        <f t="shared" si="2"/>
        <v>6.1114551083591335</v>
      </c>
      <c r="J19" s="9">
        <f t="shared" si="3"/>
        <v>12.222910216718267</v>
      </c>
      <c r="K19" s="9">
        <f>IF(L19="1x36W",ROUNDUP(J19,0),IF(L19="2x36W",ROUNDUP(I19,0),"ERRO"))</f>
        <v>7</v>
      </c>
      <c r="L19" s="8" t="str">
        <f t="shared" si="4"/>
        <v>2x36W</v>
      </c>
      <c r="M19" s="8">
        <f>ROUNDUP(D19/5,0)</f>
        <v>5</v>
      </c>
      <c r="N19" s="8">
        <v>9</v>
      </c>
      <c r="O19" s="8">
        <v>3</v>
      </c>
      <c r="P19" s="8">
        <f t="shared" si="5"/>
        <v>26940</v>
      </c>
      <c r="Q19" s="8" t="str">
        <f t="shared" si="6"/>
        <v>30.000 BTUs</v>
      </c>
    </row>
    <row r="20" spans="1:17" x14ac:dyDescent="0.25">
      <c r="A20" s="14" t="s">
        <v>18</v>
      </c>
      <c r="B20" s="14">
        <v>4</v>
      </c>
      <c r="C20" s="8">
        <v>38.93</v>
      </c>
      <c r="D20" s="8">
        <v>25.82</v>
      </c>
      <c r="E20" s="8">
        <v>300</v>
      </c>
      <c r="F20" s="9">
        <f t="shared" si="0"/>
        <v>0.70935800235861446</v>
      </c>
      <c r="G20" s="9">
        <f t="shared" si="1"/>
        <v>0.38</v>
      </c>
      <c r="H20" s="9">
        <v>0.85</v>
      </c>
      <c r="I20" s="9">
        <f t="shared" si="2"/>
        <v>7.2315789473684209</v>
      </c>
      <c r="J20" s="9">
        <f t="shared" si="3"/>
        <v>14.463157894736842</v>
      </c>
      <c r="K20" s="9">
        <v>8</v>
      </c>
      <c r="L20" s="8" t="str">
        <f t="shared" si="4"/>
        <v>2x36W</v>
      </c>
      <c r="M20" s="8">
        <f>ROUNDUP(D20/5,0)</f>
        <v>6</v>
      </c>
      <c r="N20" s="8">
        <v>6</v>
      </c>
      <c r="O20" s="8">
        <v>2</v>
      </c>
      <c r="P20" s="8">
        <f t="shared" si="5"/>
        <v>28158</v>
      </c>
      <c r="Q20" s="8" t="str">
        <f t="shared" si="6"/>
        <v>30.000 BTUs</v>
      </c>
    </row>
    <row r="21" spans="1:17" x14ac:dyDescent="0.25">
      <c r="A21" s="14" t="s">
        <v>19</v>
      </c>
      <c r="B21" s="14">
        <v>4</v>
      </c>
      <c r="C21" s="8">
        <v>26.76</v>
      </c>
      <c r="D21" s="8">
        <v>22.82</v>
      </c>
      <c r="E21" s="8">
        <v>300</v>
      </c>
      <c r="F21" s="9">
        <f t="shared" si="0"/>
        <v>0.70935800235861446</v>
      </c>
      <c r="G21" s="9">
        <f t="shared" si="1"/>
        <v>0.38</v>
      </c>
      <c r="H21" s="9">
        <v>0.85</v>
      </c>
      <c r="I21" s="9">
        <f t="shared" si="2"/>
        <v>4.9708978328173377</v>
      </c>
      <c r="J21" s="9">
        <f t="shared" si="3"/>
        <v>9.9417956656346753</v>
      </c>
      <c r="K21" s="9">
        <f t="shared" ref="K21:K26" si="7">IF(L21="1x36W",ROUNDUP(J21,0),IF(L21="2x36W",ROUNDUP(I21,0),"ERRO"))</f>
        <v>5</v>
      </c>
      <c r="L21" s="8" t="str">
        <f t="shared" si="4"/>
        <v>2x36W</v>
      </c>
      <c r="M21" s="8">
        <v>6</v>
      </c>
      <c r="N21" s="8">
        <v>6</v>
      </c>
      <c r="O21" s="8">
        <v>4</v>
      </c>
      <c r="P21" s="8">
        <f t="shared" si="5"/>
        <v>22056</v>
      </c>
      <c r="Q21" s="8" t="str">
        <f t="shared" si="6"/>
        <v>24.000 BTUs</v>
      </c>
    </row>
    <row r="22" spans="1:17" x14ac:dyDescent="0.25">
      <c r="A22" s="14" t="s">
        <v>20</v>
      </c>
      <c r="B22" s="14">
        <v>4</v>
      </c>
      <c r="C22" s="8">
        <v>3</v>
      </c>
      <c r="D22" s="10" t="s">
        <v>37</v>
      </c>
      <c r="E22" s="10">
        <v>200</v>
      </c>
      <c r="F22" s="9">
        <f t="shared" si="0"/>
        <v>0.70935800235861446</v>
      </c>
      <c r="G22" s="9">
        <f t="shared" si="1"/>
        <v>0.38</v>
      </c>
      <c r="H22" s="9">
        <v>0.85</v>
      </c>
      <c r="I22" s="9">
        <f t="shared" si="2"/>
        <v>0.37151702786377711</v>
      </c>
      <c r="J22" s="9">
        <f t="shared" si="3"/>
        <v>0.74303405572755421</v>
      </c>
      <c r="K22" s="9">
        <f t="shared" si="7"/>
        <v>1</v>
      </c>
      <c r="L22" s="8" t="str">
        <f t="shared" si="4"/>
        <v>1x36W</v>
      </c>
      <c r="M22" s="10" t="s">
        <v>37</v>
      </c>
      <c r="N22" s="10" t="s">
        <v>37</v>
      </c>
      <c r="O22" s="10" t="s">
        <v>37</v>
      </c>
      <c r="P22" s="10" t="s">
        <v>37</v>
      </c>
      <c r="Q22" s="10" t="s">
        <v>37</v>
      </c>
    </row>
    <row r="23" spans="1:17" x14ac:dyDescent="0.25">
      <c r="A23" s="14" t="s">
        <v>21</v>
      </c>
      <c r="B23" s="14">
        <v>4</v>
      </c>
      <c r="C23" s="8">
        <v>41.44</v>
      </c>
      <c r="D23" s="8">
        <v>27.32</v>
      </c>
      <c r="E23" s="8">
        <v>500</v>
      </c>
      <c r="F23" s="9">
        <f t="shared" si="0"/>
        <v>0.70935800235861446</v>
      </c>
      <c r="G23" s="9">
        <f t="shared" si="1"/>
        <v>0.38</v>
      </c>
      <c r="H23" s="9">
        <v>0.85</v>
      </c>
      <c r="I23" s="9">
        <f t="shared" si="2"/>
        <v>12.829721362229103</v>
      </c>
      <c r="J23" s="9">
        <f t="shared" si="3"/>
        <v>25.659442724458206</v>
      </c>
      <c r="K23" s="9">
        <f t="shared" si="7"/>
        <v>13</v>
      </c>
      <c r="L23" s="8" t="str">
        <f t="shared" si="4"/>
        <v>2x36W</v>
      </c>
      <c r="M23" s="8">
        <v>9</v>
      </c>
      <c r="N23" s="8">
        <v>21</v>
      </c>
      <c r="O23" s="8">
        <v>5</v>
      </c>
      <c r="P23" s="8">
        <f>C23*600+N23*600+O23*600</f>
        <v>40464</v>
      </c>
      <c r="Q23" s="8" t="str">
        <f>IF(P23&lt;=9000,"9.000 BTUs",IF(P23&lt;=12000,"12.000 BTUs",IF(P23&lt;=18000,"18.000 BTUs",IF(P23&lt;=24000,"24.000 BTUs",IF(P23&lt;=30000,"30.000 BTUs",IF(P23&lt;=48000,"2 x 24.000 BTUs",IF(P23&lt;=60000,"2 x 30.000 BTUs","VERIFICAR")))))))</f>
        <v>2 x 24.000 BTUs</v>
      </c>
    </row>
    <row r="24" spans="1:17" x14ac:dyDescent="0.25">
      <c r="A24" s="14" t="s">
        <v>22</v>
      </c>
      <c r="B24" s="14">
        <v>4</v>
      </c>
      <c r="C24" s="8">
        <v>35.86</v>
      </c>
      <c r="D24" s="8">
        <v>24.02</v>
      </c>
      <c r="E24" s="8">
        <v>300</v>
      </c>
      <c r="F24" s="9">
        <f t="shared" si="0"/>
        <v>0.70935800235861446</v>
      </c>
      <c r="G24" s="9">
        <f t="shared" si="1"/>
        <v>0.38</v>
      </c>
      <c r="H24" s="9">
        <v>0.85</v>
      </c>
      <c r="I24" s="9">
        <f t="shared" si="2"/>
        <v>6.6613003095975234</v>
      </c>
      <c r="J24" s="9">
        <f t="shared" si="3"/>
        <v>13.322600619195047</v>
      </c>
      <c r="K24" s="9">
        <f t="shared" si="7"/>
        <v>7</v>
      </c>
      <c r="L24" s="8" t="str">
        <f t="shared" si="4"/>
        <v>2x36W</v>
      </c>
      <c r="M24" s="8">
        <f>ROUNDUP(D24/3.5,0)</f>
        <v>7</v>
      </c>
      <c r="N24" s="10" t="s">
        <v>37</v>
      </c>
      <c r="O24" s="10" t="s">
        <v>37</v>
      </c>
      <c r="P24" s="10" t="s">
        <v>37</v>
      </c>
      <c r="Q24" s="10" t="s">
        <v>37</v>
      </c>
    </row>
    <row r="25" spans="1:17" x14ac:dyDescent="0.25">
      <c r="A25" s="14" t="s">
        <v>23</v>
      </c>
      <c r="B25" s="14">
        <v>4</v>
      </c>
      <c r="C25" s="8">
        <v>7.55</v>
      </c>
      <c r="D25" s="10" t="s">
        <v>37</v>
      </c>
      <c r="E25" s="10">
        <v>100</v>
      </c>
      <c r="F25" s="9">
        <f t="shared" si="0"/>
        <v>0.70935800235861446</v>
      </c>
      <c r="G25" s="9">
        <f t="shared" si="1"/>
        <v>0.38</v>
      </c>
      <c r="H25" s="9">
        <v>0.85</v>
      </c>
      <c r="I25" s="9">
        <f t="shared" si="2"/>
        <v>0.46749226006191952</v>
      </c>
      <c r="J25" s="9">
        <f t="shared" si="3"/>
        <v>0.93498452012383904</v>
      </c>
      <c r="K25" s="9">
        <f t="shared" si="7"/>
        <v>1</v>
      </c>
      <c r="L25" s="8" t="str">
        <f t="shared" si="4"/>
        <v>1x36W</v>
      </c>
      <c r="M25" s="10" t="s">
        <v>37</v>
      </c>
      <c r="N25" s="10" t="s">
        <v>37</v>
      </c>
      <c r="O25" s="10" t="s">
        <v>37</v>
      </c>
      <c r="P25" s="10" t="s">
        <v>37</v>
      </c>
      <c r="Q25" s="10" t="s">
        <v>37</v>
      </c>
    </row>
    <row r="26" spans="1:17" x14ac:dyDescent="0.25">
      <c r="A26" s="14" t="s">
        <v>24</v>
      </c>
      <c r="B26" s="14">
        <v>4</v>
      </c>
      <c r="C26" s="8">
        <v>7.55</v>
      </c>
      <c r="D26" s="10" t="s">
        <v>37</v>
      </c>
      <c r="E26" s="10">
        <v>100</v>
      </c>
      <c r="F26" s="9">
        <f t="shared" si="0"/>
        <v>0.70935800235861446</v>
      </c>
      <c r="G26" s="9">
        <f t="shared" si="1"/>
        <v>0.38</v>
      </c>
      <c r="H26" s="9">
        <v>0.85</v>
      </c>
      <c r="I26" s="9">
        <f t="shared" si="2"/>
        <v>0.46749226006191952</v>
      </c>
      <c r="J26" s="9">
        <f t="shared" si="3"/>
        <v>0.93498452012383904</v>
      </c>
      <c r="K26" s="9">
        <f t="shared" si="7"/>
        <v>1</v>
      </c>
      <c r="L26" s="8" t="str">
        <f t="shared" si="4"/>
        <v>1x36W</v>
      </c>
      <c r="M26" s="10" t="s">
        <v>37</v>
      </c>
      <c r="N26" s="10" t="s">
        <v>37</v>
      </c>
      <c r="O26" s="10" t="s">
        <v>37</v>
      </c>
      <c r="P26" s="10" t="s">
        <v>37</v>
      </c>
      <c r="Q26" s="10" t="s">
        <v>37</v>
      </c>
    </row>
    <row r="27" spans="1:17" x14ac:dyDescent="0.25">
      <c r="A27" s="14" t="s">
        <v>25</v>
      </c>
      <c r="B27" s="14">
        <v>5</v>
      </c>
      <c r="C27" s="8">
        <v>54.86</v>
      </c>
      <c r="D27" s="8">
        <v>29.7</v>
      </c>
      <c r="E27" s="8">
        <v>300</v>
      </c>
      <c r="F27" s="9">
        <f t="shared" si="0"/>
        <v>0.70935800235861446</v>
      </c>
      <c r="G27" s="9">
        <f t="shared" si="1"/>
        <v>0.38</v>
      </c>
      <c r="H27" s="9">
        <v>0.85</v>
      </c>
      <c r="I27" s="9">
        <f t="shared" si="2"/>
        <v>10.190712074303406</v>
      </c>
      <c r="J27" s="9">
        <f t="shared" si="3"/>
        <v>20.381424148606811</v>
      </c>
      <c r="K27" s="9">
        <v>12</v>
      </c>
      <c r="L27" s="8" t="str">
        <f t="shared" si="4"/>
        <v>2x36W</v>
      </c>
      <c r="M27" s="8">
        <f>ROUNDUP(D27/5,0)</f>
        <v>6</v>
      </c>
      <c r="N27" s="8">
        <v>43</v>
      </c>
      <c r="O27" s="8">
        <v>2</v>
      </c>
      <c r="P27" s="8">
        <f>C27*600+N27*600+O27*600</f>
        <v>59916</v>
      </c>
      <c r="Q27" s="8" t="str">
        <f>IF(P27&lt;=9000,"9.000 BTUs",IF(P27&lt;=12000,"12.000 BTUs",IF(P27&lt;=18000,"18.000 BTUs",IF(P27&lt;=24000,"24.000 BTUs",IF(P27&lt;=30000,"30.000 BTUs",IF(P27&lt;=48000,"2 x 24.000 BTUs",IF(P27&lt;=60000,"2 x 30.000 BTUs","VERIFICAR")))))))</f>
        <v>2 x 30.000 BTUs</v>
      </c>
    </row>
    <row r="28" spans="1:17" x14ac:dyDescent="0.25">
      <c r="A28" s="14" t="s">
        <v>26</v>
      </c>
      <c r="B28" s="14">
        <v>5</v>
      </c>
      <c r="C28" s="8">
        <v>4.3099999999999996</v>
      </c>
      <c r="D28" s="10" t="s">
        <v>37</v>
      </c>
      <c r="E28" s="10">
        <v>100</v>
      </c>
      <c r="F28" s="9">
        <f t="shared" si="0"/>
        <v>0.70935800235861446</v>
      </c>
      <c r="G28" s="9">
        <f t="shared" si="1"/>
        <v>0.38</v>
      </c>
      <c r="H28" s="9">
        <v>0.85</v>
      </c>
      <c r="I28" s="9">
        <f t="shared" si="2"/>
        <v>0.26687306501547986</v>
      </c>
      <c r="J28" s="9">
        <f t="shared" si="3"/>
        <v>0.53374613003095972</v>
      </c>
      <c r="K28" s="9">
        <f t="shared" ref="K28:K36" si="8">IF(L28="1x36W",ROUNDUP(J28,0),IF(L28="2x36W",ROUNDUP(I28,0),"ERRO"))</f>
        <v>1</v>
      </c>
      <c r="L28" s="8" t="str">
        <f t="shared" si="4"/>
        <v>1x36W</v>
      </c>
      <c r="M28" s="10" t="s">
        <v>37</v>
      </c>
      <c r="N28" s="10" t="s">
        <v>37</v>
      </c>
      <c r="O28" s="10" t="s">
        <v>37</v>
      </c>
      <c r="P28" s="10" t="s">
        <v>37</v>
      </c>
      <c r="Q28" s="10" t="s">
        <v>37</v>
      </c>
    </row>
    <row r="29" spans="1:17" x14ac:dyDescent="0.25">
      <c r="A29" s="14" t="s">
        <v>27</v>
      </c>
      <c r="B29" s="14">
        <v>5</v>
      </c>
      <c r="C29" s="8">
        <v>15.27</v>
      </c>
      <c r="D29" s="8">
        <v>16.38</v>
      </c>
      <c r="E29" s="8">
        <v>300</v>
      </c>
      <c r="F29" s="9">
        <f t="shared" si="0"/>
        <v>0.70935800235861446</v>
      </c>
      <c r="G29" s="9">
        <f t="shared" si="1"/>
        <v>0.38</v>
      </c>
      <c r="H29" s="9">
        <v>0.85</v>
      </c>
      <c r="I29" s="9">
        <f t="shared" si="2"/>
        <v>2.8365325077399381</v>
      </c>
      <c r="J29" s="9">
        <f t="shared" si="3"/>
        <v>5.6730650154798763</v>
      </c>
      <c r="K29" s="9">
        <f t="shared" si="8"/>
        <v>3</v>
      </c>
      <c r="L29" s="8" t="str">
        <f t="shared" si="4"/>
        <v>2x36W</v>
      </c>
      <c r="M29" s="8">
        <f>ROUNDUP(D29/5,0)</f>
        <v>4</v>
      </c>
      <c r="N29" s="8">
        <v>6</v>
      </c>
      <c r="O29" s="8">
        <v>3</v>
      </c>
      <c r="P29" s="8">
        <f>C29*600+N29*600+O29*600</f>
        <v>14562</v>
      </c>
      <c r="Q29" s="8" t="str">
        <f>IF(P29&lt;=9000,"9.000 BTUs",IF(P29&lt;=12000,"12.000 BTUs",IF(P29&lt;=18000,"18.000 BTUs",IF(P29&lt;=24000,"24.000 BTUs",IF(P29&lt;=30000,"30.000 BTUs",IF(P29&lt;=48000,"2 x 24.000 BTUs",IF(P29&lt;=60000,"2 x 30.000 BTUs","VERIFICAR")))))))</f>
        <v>18.000 BTUs</v>
      </c>
    </row>
    <row r="30" spans="1:17" x14ac:dyDescent="0.25">
      <c r="A30" s="14" t="s">
        <v>28</v>
      </c>
      <c r="B30" s="14">
        <v>5</v>
      </c>
      <c r="C30" s="8">
        <v>34.5</v>
      </c>
      <c r="D30" s="8">
        <v>23.8</v>
      </c>
      <c r="E30" s="8">
        <v>300</v>
      </c>
      <c r="F30" s="9">
        <f t="shared" si="0"/>
        <v>0.70935800235861446</v>
      </c>
      <c r="G30" s="9">
        <f t="shared" si="1"/>
        <v>0.38</v>
      </c>
      <c r="H30" s="9">
        <v>0.85</v>
      </c>
      <c r="I30" s="9">
        <f t="shared" si="2"/>
        <v>6.4086687306501551</v>
      </c>
      <c r="J30" s="9">
        <f t="shared" si="3"/>
        <v>12.81733746130031</v>
      </c>
      <c r="K30" s="9">
        <f t="shared" si="8"/>
        <v>7</v>
      </c>
      <c r="L30" s="8" t="str">
        <f t="shared" si="4"/>
        <v>2x36W</v>
      </c>
      <c r="M30" s="8">
        <v>6</v>
      </c>
      <c r="N30" s="8">
        <v>5</v>
      </c>
      <c r="O30" s="8">
        <v>5</v>
      </c>
      <c r="P30" s="8">
        <f>C30*600+N30*600+O30*600</f>
        <v>26700</v>
      </c>
      <c r="Q30" s="8" t="str">
        <f>IF(P30&lt;=9000,"9.000 BTUs",IF(P30&lt;=12000,"12.000 BTUs",IF(P30&lt;=18000,"18.000 BTUs",IF(P30&lt;=24000,"24.000 BTUs",IF(P30&lt;=30000,"30.000 BTUs",IF(P30&lt;=48000,"2 x 24.000 BTUs",IF(P30&lt;=60000,"2 x 30.000 BTUs","VERIFICAR")))))))</f>
        <v>30.000 BTUs</v>
      </c>
    </row>
    <row r="31" spans="1:17" x14ac:dyDescent="0.25">
      <c r="A31" s="14" t="s">
        <v>29</v>
      </c>
      <c r="B31" s="14">
        <v>5</v>
      </c>
      <c r="C31" s="8">
        <v>21.24</v>
      </c>
      <c r="D31" s="10" t="s">
        <v>37</v>
      </c>
      <c r="E31" s="10">
        <v>200</v>
      </c>
      <c r="F31" s="9">
        <f t="shared" si="0"/>
        <v>0.70935800235861446</v>
      </c>
      <c r="G31" s="9">
        <f t="shared" si="1"/>
        <v>0.38</v>
      </c>
      <c r="H31" s="9">
        <v>0.85</v>
      </c>
      <c r="I31" s="9">
        <f t="shared" si="2"/>
        <v>2.6303405572755416</v>
      </c>
      <c r="J31" s="9">
        <f t="shared" si="3"/>
        <v>5.2606811145510832</v>
      </c>
      <c r="K31" s="9">
        <f t="shared" si="8"/>
        <v>3</v>
      </c>
      <c r="L31" s="8" t="str">
        <f t="shared" si="4"/>
        <v>2x36W</v>
      </c>
      <c r="M31" s="10" t="s">
        <v>37</v>
      </c>
      <c r="N31" s="10" t="s">
        <v>37</v>
      </c>
      <c r="O31" s="10" t="s">
        <v>37</v>
      </c>
      <c r="P31" s="10" t="s">
        <v>37</v>
      </c>
      <c r="Q31" s="10" t="s">
        <v>37</v>
      </c>
    </row>
    <row r="32" spans="1:17" x14ac:dyDescent="0.25">
      <c r="A32" s="14" t="s">
        <v>30</v>
      </c>
      <c r="B32" s="14">
        <v>5</v>
      </c>
      <c r="C32" s="8">
        <v>21.24</v>
      </c>
      <c r="D32" s="10" t="s">
        <v>37</v>
      </c>
      <c r="E32" s="10">
        <v>200</v>
      </c>
      <c r="F32" s="9">
        <f t="shared" si="0"/>
        <v>0.70935800235861446</v>
      </c>
      <c r="G32" s="9">
        <f t="shared" si="1"/>
        <v>0.38</v>
      </c>
      <c r="H32" s="9">
        <v>0.85</v>
      </c>
      <c r="I32" s="9">
        <f t="shared" si="2"/>
        <v>2.6303405572755416</v>
      </c>
      <c r="J32" s="9">
        <f t="shared" si="3"/>
        <v>5.2606811145510832</v>
      </c>
      <c r="K32" s="9">
        <f t="shared" si="8"/>
        <v>3</v>
      </c>
      <c r="L32" s="8" t="str">
        <f t="shared" si="4"/>
        <v>2x36W</v>
      </c>
      <c r="M32" s="10" t="s">
        <v>37</v>
      </c>
      <c r="N32" s="10" t="s">
        <v>37</v>
      </c>
      <c r="O32" s="10" t="s">
        <v>37</v>
      </c>
      <c r="P32" s="10" t="s">
        <v>37</v>
      </c>
      <c r="Q32" s="10" t="s">
        <v>37</v>
      </c>
    </row>
    <row r="33" spans="1:17" x14ac:dyDescent="0.25">
      <c r="A33" s="14" t="s">
        <v>31</v>
      </c>
      <c r="B33" s="14">
        <v>5</v>
      </c>
      <c r="C33" s="8">
        <v>3.24</v>
      </c>
      <c r="D33" s="10" t="s">
        <v>37</v>
      </c>
      <c r="E33" s="10">
        <v>200</v>
      </c>
      <c r="F33" s="9">
        <f t="shared" si="0"/>
        <v>0.70935800235861446</v>
      </c>
      <c r="G33" s="9">
        <f t="shared" si="1"/>
        <v>0.38</v>
      </c>
      <c r="H33" s="9">
        <v>0.85</v>
      </c>
      <c r="I33" s="9">
        <f t="shared" si="2"/>
        <v>0.40123839009287926</v>
      </c>
      <c r="J33" s="9">
        <f t="shared" si="3"/>
        <v>0.80247678018575852</v>
      </c>
      <c r="K33" s="9">
        <f t="shared" si="8"/>
        <v>1</v>
      </c>
      <c r="L33" s="8" t="str">
        <f t="shared" si="4"/>
        <v>1x36W</v>
      </c>
      <c r="M33" s="10" t="s">
        <v>37</v>
      </c>
      <c r="N33" s="10" t="s">
        <v>37</v>
      </c>
      <c r="O33" s="10" t="s">
        <v>37</v>
      </c>
      <c r="P33" s="10" t="s">
        <v>37</v>
      </c>
      <c r="Q33" s="10" t="s">
        <v>37</v>
      </c>
    </row>
    <row r="34" spans="1:17" x14ac:dyDescent="0.25">
      <c r="A34" s="14" t="s">
        <v>32</v>
      </c>
      <c r="B34" s="14">
        <v>5</v>
      </c>
      <c r="C34" s="8">
        <v>3.24</v>
      </c>
      <c r="D34" s="10" t="s">
        <v>37</v>
      </c>
      <c r="E34" s="10">
        <v>200</v>
      </c>
      <c r="F34" s="9">
        <f t="shared" si="0"/>
        <v>0.70935800235861446</v>
      </c>
      <c r="G34" s="9">
        <f t="shared" si="1"/>
        <v>0.38</v>
      </c>
      <c r="H34" s="9">
        <v>0.85</v>
      </c>
      <c r="I34" s="9">
        <f t="shared" si="2"/>
        <v>0.40123839009287926</v>
      </c>
      <c r="J34" s="9">
        <f t="shared" si="3"/>
        <v>0.80247678018575852</v>
      </c>
      <c r="K34" s="9">
        <f t="shared" si="8"/>
        <v>1</v>
      </c>
      <c r="L34" s="8" t="str">
        <f t="shared" si="4"/>
        <v>1x36W</v>
      </c>
      <c r="M34" s="10" t="s">
        <v>37</v>
      </c>
      <c r="N34" s="10" t="s">
        <v>37</v>
      </c>
      <c r="O34" s="10" t="s">
        <v>37</v>
      </c>
      <c r="P34" s="10" t="s">
        <v>37</v>
      </c>
      <c r="Q34" s="10" t="s">
        <v>37</v>
      </c>
    </row>
    <row r="35" spans="1:17" x14ac:dyDescent="0.25">
      <c r="A35" s="14" t="s">
        <v>35</v>
      </c>
      <c r="B35" s="14">
        <v>6</v>
      </c>
      <c r="C35" s="8">
        <v>7.35</v>
      </c>
      <c r="D35" s="8">
        <v>12.02</v>
      </c>
      <c r="E35" s="8">
        <v>100</v>
      </c>
      <c r="F35" s="9">
        <f t="shared" si="0"/>
        <v>0.70935800235861446</v>
      </c>
      <c r="G35" s="9">
        <f t="shared" si="1"/>
        <v>0.38</v>
      </c>
      <c r="H35" s="9">
        <v>0.85</v>
      </c>
      <c r="I35" s="9">
        <f t="shared" si="2"/>
        <v>0.45510835913312692</v>
      </c>
      <c r="J35" s="9">
        <f t="shared" si="3"/>
        <v>0.91021671826625383</v>
      </c>
      <c r="K35" s="9">
        <f t="shared" si="8"/>
        <v>1</v>
      </c>
      <c r="L35" s="8" t="str">
        <f t="shared" si="4"/>
        <v>1x36W</v>
      </c>
      <c r="M35" s="10" t="s">
        <v>37</v>
      </c>
      <c r="N35" s="10" t="s">
        <v>37</v>
      </c>
      <c r="O35" s="10" t="s">
        <v>37</v>
      </c>
      <c r="P35" s="10" t="s">
        <v>37</v>
      </c>
      <c r="Q35" s="10" t="s">
        <v>37</v>
      </c>
    </row>
    <row r="36" spans="1:17" x14ac:dyDescent="0.25">
      <c r="A36" s="14" t="s">
        <v>16</v>
      </c>
      <c r="B36" s="14">
        <v>6</v>
      </c>
      <c r="C36" s="8">
        <f>9.8+4.95+35.64</f>
        <v>50.39</v>
      </c>
      <c r="D36" s="10" t="s">
        <v>37</v>
      </c>
      <c r="E36" s="10">
        <v>100</v>
      </c>
      <c r="F36" s="9">
        <f t="shared" si="0"/>
        <v>0.70935800235861446</v>
      </c>
      <c r="G36" s="9">
        <f t="shared" si="1"/>
        <v>0.38</v>
      </c>
      <c r="H36" s="9">
        <v>0.85</v>
      </c>
      <c r="I36" s="9">
        <f t="shared" si="2"/>
        <v>3.1201238390092878</v>
      </c>
      <c r="J36" s="9">
        <f t="shared" si="3"/>
        <v>6.2402476780185756</v>
      </c>
      <c r="K36" s="9">
        <f t="shared" si="8"/>
        <v>4</v>
      </c>
      <c r="L36" s="8" t="str">
        <f t="shared" si="4"/>
        <v>2x36W</v>
      </c>
      <c r="M36" s="10" t="s">
        <v>37</v>
      </c>
      <c r="N36" s="10" t="s">
        <v>37</v>
      </c>
      <c r="O36" s="10" t="s">
        <v>37</v>
      </c>
      <c r="P36" s="10" t="s">
        <v>37</v>
      </c>
      <c r="Q36" s="10" t="s">
        <v>37</v>
      </c>
    </row>
    <row r="37" spans="1:17" x14ac:dyDescent="0.25">
      <c r="A37" s="14" t="s">
        <v>54</v>
      </c>
      <c r="B37" s="14">
        <v>6</v>
      </c>
      <c r="C37" s="8">
        <f>33.13+29.46</f>
        <v>62.59</v>
      </c>
      <c r="D37" s="10" t="s">
        <v>37</v>
      </c>
      <c r="E37" s="10">
        <v>100</v>
      </c>
      <c r="F37" s="9">
        <f t="shared" si="0"/>
        <v>0.70935800235861446</v>
      </c>
      <c r="G37" s="9">
        <f t="shared" si="1"/>
        <v>0.38</v>
      </c>
      <c r="H37" s="9">
        <v>0.85</v>
      </c>
      <c r="I37" s="9">
        <f t="shared" si="2"/>
        <v>3.8755417956656348</v>
      </c>
      <c r="J37" s="9">
        <f t="shared" si="3"/>
        <v>7.7510835913312697</v>
      </c>
      <c r="K37" s="9">
        <v>6</v>
      </c>
      <c r="L37" s="8" t="str">
        <f t="shared" si="4"/>
        <v>2x36W</v>
      </c>
      <c r="M37" s="10" t="s">
        <v>37</v>
      </c>
      <c r="N37" s="10" t="s">
        <v>37</v>
      </c>
      <c r="O37" s="10" t="s">
        <v>37</v>
      </c>
      <c r="P37" s="10" t="s">
        <v>37</v>
      </c>
      <c r="Q37" s="10" t="s">
        <v>37</v>
      </c>
    </row>
    <row r="38" spans="1:17" x14ac:dyDescent="0.25">
      <c r="A38" s="14" t="s">
        <v>53</v>
      </c>
      <c r="B38" s="14">
        <v>6</v>
      </c>
      <c r="C38" s="8">
        <v>63.16</v>
      </c>
      <c r="D38" s="10" t="s">
        <v>37</v>
      </c>
      <c r="E38" s="10">
        <v>100</v>
      </c>
      <c r="F38" s="9">
        <f t="shared" si="0"/>
        <v>0.70935800235861446</v>
      </c>
      <c r="G38" s="9">
        <f t="shared" si="1"/>
        <v>0.38</v>
      </c>
      <c r="H38" s="9">
        <v>0.85</v>
      </c>
      <c r="I38" s="9">
        <f t="shared" si="2"/>
        <v>3.9108359133126935</v>
      </c>
      <c r="J38" s="9">
        <f t="shared" si="3"/>
        <v>7.8216718266253871</v>
      </c>
      <c r="K38" s="9">
        <v>6</v>
      </c>
      <c r="L38" s="8" t="str">
        <f t="shared" si="4"/>
        <v>2x36W</v>
      </c>
      <c r="M38" s="10">
        <v>1</v>
      </c>
      <c r="N38" s="10"/>
      <c r="O38" s="10"/>
      <c r="P38" s="10"/>
      <c r="Q38" s="10" t="s">
        <v>37</v>
      </c>
    </row>
    <row r="39" spans="1:17" x14ac:dyDescent="0.25">
      <c r="A39" s="14" t="s">
        <v>33</v>
      </c>
      <c r="B39" s="14">
        <v>7</v>
      </c>
      <c r="C39" s="8">
        <v>8.4600000000000009</v>
      </c>
      <c r="D39" s="10" t="s">
        <v>37</v>
      </c>
      <c r="E39" s="10">
        <v>100</v>
      </c>
      <c r="F39" s="9">
        <f t="shared" si="0"/>
        <v>0.70935800235861446</v>
      </c>
      <c r="G39" s="9">
        <f t="shared" si="1"/>
        <v>0.38</v>
      </c>
      <c r="H39" s="9">
        <v>0.85</v>
      </c>
      <c r="I39" s="9">
        <f t="shared" si="2"/>
        <v>0.52383900928792582</v>
      </c>
      <c r="J39" s="9">
        <f t="shared" si="3"/>
        <v>1.0476780185758516</v>
      </c>
      <c r="K39" s="9">
        <f>IF(L39="1x36W",ROUNDUP(J39,0),IF(L39="2x36W",ROUNDUP(I39,0),"ERRO"))</f>
        <v>1</v>
      </c>
      <c r="L39" s="8" t="str">
        <f t="shared" si="4"/>
        <v>2x36W</v>
      </c>
      <c r="M39" s="10" t="s">
        <v>37</v>
      </c>
      <c r="N39" s="10" t="s">
        <v>37</v>
      </c>
      <c r="O39" s="10" t="s">
        <v>37</v>
      </c>
      <c r="P39" s="10" t="s">
        <v>37</v>
      </c>
      <c r="Q39" s="10" t="s">
        <v>37</v>
      </c>
    </row>
    <row r="40" spans="1:17" x14ac:dyDescent="0.25">
      <c r="A40" s="14" t="s">
        <v>34</v>
      </c>
      <c r="B40" s="14">
        <v>7</v>
      </c>
      <c r="C40" s="10" t="s">
        <v>37</v>
      </c>
      <c r="D40" s="10" t="s">
        <v>37</v>
      </c>
      <c r="E40" s="10" t="s">
        <v>37</v>
      </c>
      <c r="F40" s="11" t="s">
        <v>37</v>
      </c>
      <c r="G40" s="11" t="s">
        <v>37</v>
      </c>
      <c r="H40" s="11" t="s">
        <v>37</v>
      </c>
      <c r="I40" s="11" t="s">
        <v>37</v>
      </c>
      <c r="J40" s="10" t="s">
        <v>37</v>
      </c>
      <c r="K40" s="11" t="s">
        <v>37</v>
      </c>
      <c r="L40" s="8" t="s">
        <v>47</v>
      </c>
      <c r="M40" s="10" t="s">
        <v>37</v>
      </c>
      <c r="N40" s="10" t="s">
        <v>37</v>
      </c>
      <c r="O40" s="10" t="s">
        <v>37</v>
      </c>
      <c r="P40" s="10" t="s">
        <v>37</v>
      </c>
      <c r="Q40" s="10" t="s">
        <v>37</v>
      </c>
    </row>
  </sheetData>
  <autoFilter ref="Q2:Q40" xr:uid="{46B10A2A-7068-4268-B258-321F2CF0BB17}"/>
  <mergeCells count="1">
    <mergeCell ref="K1:L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ECD22-53C4-4D24-8281-DC5B2F5F2B24}">
  <dimension ref="A1:AA26"/>
  <sheetViews>
    <sheetView tabSelected="1" topLeftCell="A3" workbookViewId="0">
      <selection activeCell="B12" sqref="B12:B21"/>
    </sheetView>
  </sheetViews>
  <sheetFormatPr defaultRowHeight="15" x14ac:dyDescent="0.25"/>
  <cols>
    <col min="1" max="1" width="9.140625" style="1"/>
    <col min="2" max="2" width="21" style="15" bestFit="1" customWidth="1"/>
    <col min="3" max="8" width="9.140625" style="1"/>
    <col min="9" max="9" width="9.85546875" style="1" bestFit="1" customWidth="1"/>
    <col min="10" max="11" width="9.140625" style="1"/>
    <col min="12" max="12" width="10.140625" style="1" customWidth="1"/>
    <col min="13" max="16384" width="9.140625" style="1"/>
  </cols>
  <sheetData>
    <row r="1" spans="1:27" ht="18.75" x14ac:dyDescent="0.25">
      <c r="A1" s="35" t="s">
        <v>56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U1" s="1" t="s">
        <v>111</v>
      </c>
      <c r="V1" s="1" t="s">
        <v>112</v>
      </c>
      <c r="W1" s="1" t="s">
        <v>113</v>
      </c>
      <c r="Y1" s="29" t="s">
        <v>125</v>
      </c>
      <c r="Z1" s="29"/>
      <c r="AA1" s="29"/>
    </row>
    <row r="2" spans="1:27" ht="15.75" x14ac:dyDescent="0.25">
      <c r="A2" s="36" t="s">
        <v>57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Y2" s="1" t="s">
        <v>128</v>
      </c>
      <c r="Z2" s="1" t="s">
        <v>127</v>
      </c>
      <c r="AA2" s="1" t="s">
        <v>126</v>
      </c>
    </row>
    <row r="3" spans="1:27" x14ac:dyDescent="0.25">
      <c r="A3" s="34" t="s">
        <v>58</v>
      </c>
      <c r="B3" s="34" t="s">
        <v>59</v>
      </c>
      <c r="C3" s="34" t="s">
        <v>60</v>
      </c>
      <c r="D3" s="34"/>
      <c r="E3" s="34"/>
      <c r="F3" s="34" t="s">
        <v>64</v>
      </c>
      <c r="G3" s="34"/>
      <c r="H3" s="34"/>
      <c r="I3" s="8" t="s">
        <v>88</v>
      </c>
      <c r="J3" s="33" t="s">
        <v>74</v>
      </c>
      <c r="K3" s="33" t="s">
        <v>75</v>
      </c>
      <c r="L3" s="33" t="s">
        <v>76</v>
      </c>
      <c r="M3" s="33" t="s">
        <v>77</v>
      </c>
      <c r="N3" s="33" t="s">
        <v>116</v>
      </c>
      <c r="O3" s="33" t="s">
        <v>78</v>
      </c>
      <c r="P3" s="33" t="s">
        <v>123</v>
      </c>
      <c r="Q3" s="33" t="s">
        <v>79</v>
      </c>
      <c r="R3" s="33" t="s">
        <v>80</v>
      </c>
      <c r="S3" s="34" t="s">
        <v>81</v>
      </c>
    </row>
    <row r="4" spans="1:27" x14ac:dyDescent="0.25">
      <c r="A4" s="34"/>
      <c r="B4" s="34"/>
      <c r="C4" s="8" t="s">
        <v>61</v>
      </c>
      <c r="D4" s="8" t="s">
        <v>62</v>
      </c>
      <c r="E4" s="8" t="s">
        <v>63</v>
      </c>
      <c r="F4" s="8" t="s">
        <v>66</v>
      </c>
      <c r="G4" s="8" t="s">
        <v>65</v>
      </c>
      <c r="H4" s="8" t="s">
        <v>67</v>
      </c>
      <c r="I4" s="8" t="s">
        <v>122</v>
      </c>
      <c r="J4" s="33"/>
      <c r="K4" s="33"/>
      <c r="L4" s="33"/>
      <c r="M4" s="33"/>
      <c r="N4" s="33"/>
      <c r="O4" s="33"/>
      <c r="P4" s="33"/>
      <c r="Q4" s="33"/>
      <c r="R4" s="33"/>
      <c r="S4" s="34"/>
    </row>
    <row r="5" spans="1:27" x14ac:dyDescent="0.25">
      <c r="A5" s="8">
        <v>1</v>
      </c>
      <c r="B5" s="18" t="s">
        <v>82</v>
      </c>
      <c r="C5" s="8"/>
      <c r="D5" s="8">
        <v>1</v>
      </c>
      <c r="E5" s="8">
        <v>24</v>
      </c>
      <c r="F5" s="8"/>
      <c r="G5" s="8"/>
      <c r="H5" s="8"/>
      <c r="I5" s="8"/>
      <c r="J5" s="8">
        <f>C5*15+D5*36+E5*72+F5*100*0.8+G5*300+H5*600*0.8+I5*36814</f>
        <v>1764</v>
      </c>
      <c r="K5" s="8">
        <f>J5/M5</f>
        <v>1960</v>
      </c>
      <c r="L5" s="16">
        <v>1</v>
      </c>
      <c r="M5" s="8">
        <v>0.9</v>
      </c>
      <c r="N5" s="17">
        <f>K5*L5/220</f>
        <v>8.9090909090909083</v>
      </c>
      <c r="O5" s="8">
        <v>1</v>
      </c>
      <c r="P5" s="22" t="s">
        <v>118</v>
      </c>
      <c r="Q5" s="8">
        <v>2.5</v>
      </c>
      <c r="R5" s="8" t="s">
        <v>111</v>
      </c>
      <c r="S5" s="19" t="s">
        <v>37</v>
      </c>
      <c r="U5" s="1">
        <f>IF(R5="A",U4+N5,U4)</f>
        <v>8.9090909090909083</v>
      </c>
      <c r="V5" s="1">
        <f>IF(R5="B",V4+N5,V4)</f>
        <v>0</v>
      </c>
      <c r="W5" s="1">
        <f>IF(R5="C",W4+N5,W4)</f>
        <v>0</v>
      </c>
      <c r="Y5" s="1">
        <f>(2*0.0172*Z5*N5*M5)/AA5</f>
        <v>0.55165090909090908</v>
      </c>
      <c r="Z5" s="1">
        <v>17.600000000000001</v>
      </c>
      <c r="AA5" s="1">
        <f>220*4/100</f>
        <v>8.8000000000000007</v>
      </c>
    </row>
    <row r="6" spans="1:27" x14ac:dyDescent="0.25">
      <c r="A6" s="8">
        <v>2</v>
      </c>
      <c r="B6" s="18" t="s">
        <v>82</v>
      </c>
      <c r="C6" s="8"/>
      <c r="D6" s="8"/>
      <c r="E6" s="8">
        <v>24</v>
      </c>
      <c r="F6" s="8"/>
      <c r="G6" s="8"/>
      <c r="H6" s="8"/>
      <c r="I6" s="8"/>
      <c r="J6" s="8">
        <f t="shared" ref="J6:J22" si="0">C6*15+D6*36+E6*72+F6*100*0.8+G6*300+H6*600*0.8+I6*36814</f>
        <v>1728</v>
      </c>
      <c r="K6" s="8">
        <f t="shared" ref="K6:K16" si="1">J6/M6</f>
        <v>1920</v>
      </c>
      <c r="L6" s="16">
        <v>1</v>
      </c>
      <c r="M6" s="8">
        <v>0.9</v>
      </c>
      <c r="N6" s="17">
        <f t="shared" ref="N6:N16" si="2">K6*L6/220</f>
        <v>8.7272727272727266</v>
      </c>
      <c r="O6" s="8">
        <v>1</v>
      </c>
      <c r="P6" s="22" t="s">
        <v>118</v>
      </c>
      <c r="Q6" s="8">
        <v>2.5</v>
      </c>
      <c r="R6" s="8" t="s">
        <v>112</v>
      </c>
      <c r="S6" s="19" t="s">
        <v>37</v>
      </c>
      <c r="U6" s="1">
        <f t="shared" ref="U6:U21" si="3">IF(R6="A",U5+N6,U5)</f>
        <v>8.9090909090909083</v>
      </c>
      <c r="V6" s="1">
        <f t="shared" ref="V6:V22" si="4">IF(R6="B",V5+N6,V5)</f>
        <v>8.7272727272727266</v>
      </c>
      <c r="W6" s="1">
        <f t="shared" ref="W6:W22" si="5">IF(R6="C",W5+N6,W5)</f>
        <v>0</v>
      </c>
      <c r="Y6" s="1">
        <f t="shared" ref="Y6:Y21" si="6">(2*0.0172*Z6*N6*M6)/AA6</f>
        <v>0.73689917355371881</v>
      </c>
      <c r="Z6" s="1">
        <v>24</v>
      </c>
      <c r="AA6" s="1">
        <f t="shared" ref="AA6:AA21" si="7">220*4/100</f>
        <v>8.8000000000000007</v>
      </c>
    </row>
    <row r="7" spans="1:27" x14ac:dyDescent="0.25">
      <c r="A7" s="8">
        <v>3</v>
      </c>
      <c r="B7" s="18" t="s">
        <v>82</v>
      </c>
      <c r="C7" s="8"/>
      <c r="D7" s="8"/>
      <c r="E7" s="8">
        <v>8</v>
      </c>
      <c r="F7" s="8"/>
      <c r="G7" s="8"/>
      <c r="H7" s="8"/>
      <c r="I7" s="8"/>
      <c r="J7" s="8">
        <f t="shared" si="0"/>
        <v>576</v>
      </c>
      <c r="K7" s="8">
        <f t="shared" si="1"/>
        <v>640</v>
      </c>
      <c r="L7" s="16">
        <v>1</v>
      </c>
      <c r="M7" s="8">
        <v>0.9</v>
      </c>
      <c r="N7" s="17">
        <f t="shared" si="2"/>
        <v>2.9090909090909092</v>
      </c>
      <c r="O7" s="8">
        <v>1</v>
      </c>
      <c r="P7" s="22" t="s">
        <v>124</v>
      </c>
      <c r="Q7" s="8">
        <v>2.5</v>
      </c>
      <c r="R7" s="8" t="s">
        <v>113</v>
      </c>
      <c r="S7" s="19" t="s">
        <v>37</v>
      </c>
      <c r="U7" s="1">
        <f t="shared" si="3"/>
        <v>8.9090909090909083</v>
      </c>
      <c r="V7" s="1">
        <f t="shared" si="4"/>
        <v>8.7272727272727266</v>
      </c>
      <c r="W7" s="1">
        <f t="shared" si="5"/>
        <v>2.9090909090909092</v>
      </c>
      <c r="Y7" s="1">
        <f t="shared" si="6"/>
        <v>6.4478677685950406E-2</v>
      </c>
      <c r="Z7" s="1">
        <v>6.3</v>
      </c>
      <c r="AA7" s="1">
        <f t="shared" si="7"/>
        <v>8.8000000000000007</v>
      </c>
    </row>
    <row r="8" spans="1:27" x14ac:dyDescent="0.25">
      <c r="A8" s="8">
        <v>4</v>
      </c>
      <c r="B8" s="18" t="s">
        <v>82</v>
      </c>
      <c r="C8" s="8"/>
      <c r="D8" s="8">
        <v>1</v>
      </c>
      <c r="E8" s="8">
        <v>40</v>
      </c>
      <c r="F8" s="8"/>
      <c r="G8" s="8"/>
      <c r="H8" s="8"/>
      <c r="I8" s="8"/>
      <c r="J8" s="8">
        <f t="shared" si="0"/>
        <v>2916</v>
      </c>
      <c r="K8" s="8">
        <f t="shared" si="1"/>
        <v>3240</v>
      </c>
      <c r="L8" s="16">
        <v>1</v>
      </c>
      <c r="M8" s="8">
        <v>0.9</v>
      </c>
      <c r="N8" s="17">
        <f t="shared" si="2"/>
        <v>14.727272727272727</v>
      </c>
      <c r="O8" s="8">
        <v>1</v>
      </c>
      <c r="P8" s="22" t="s">
        <v>119</v>
      </c>
      <c r="Q8" s="8">
        <v>2.5</v>
      </c>
      <c r="R8" s="8" t="s">
        <v>111</v>
      </c>
      <c r="S8" s="19" t="s">
        <v>37</v>
      </c>
      <c r="U8" s="1">
        <f t="shared" si="3"/>
        <v>23.636363636363633</v>
      </c>
      <c r="V8" s="1">
        <f t="shared" si="4"/>
        <v>8.7272727272727266</v>
      </c>
      <c r="W8" s="1">
        <f t="shared" si="5"/>
        <v>2.9090909090909092</v>
      </c>
      <c r="Y8" s="1">
        <f t="shared" si="6"/>
        <v>1.5201999669421484</v>
      </c>
      <c r="Z8" s="1">
        <v>29.34</v>
      </c>
      <c r="AA8" s="1">
        <f t="shared" si="7"/>
        <v>8.8000000000000007</v>
      </c>
    </row>
    <row r="9" spans="1:27" x14ac:dyDescent="0.25">
      <c r="A9" s="8">
        <v>5</v>
      </c>
      <c r="B9" s="18" t="s">
        <v>82</v>
      </c>
      <c r="C9" s="8"/>
      <c r="D9" s="8">
        <v>3</v>
      </c>
      <c r="E9" s="8">
        <v>32</v>
      </c>
      <c r="F9" s="8"/>
      <c r="G9" s="8"/>
      <c r="H9" s="8"/>
      <c r="I9" s="8"/>
      <c r="J9" s="8">
        <f t="shared" si="0"/>
        <v>2412</v>
      </c>
      <c r="K9" s="8">
        <f t="shared" si="1"/>
        <v>2680</v>
      </c>
      <c r="L9" s="16">
        <v>1</v>
      </c>
      <c r="M9" s="8">
        <v>0.9</v>
      </c>
      <c r="N9" s="17">
        <f t="shared" si="2"/>
        <v>12.181818181818182</v>
      </c>
      <c r="O9" s="8">
        <v>1</v>
      </c>
      <c r="P9" s="22" t="s">
        <v>119</v>
      </c>
      <c r="Q9" s="8">
        <v>2.5</v>
      </c>
      <c r="R9" s="8" t="s">
        <v>112</v>
      </c>
      <c r="S9" s="19" t="s">
        <v>37</v>
      </c>
      <c r="U9" s="1">
        <f t="shared" si="3"/>
        <v>23.636363636363633</v>
      </c>
      <c r="V9" s="1">
        <f t="shared" si="4"/>
        <v>20.909090909090907</v>
      </c>
      <c r="W9" s="1">
        <f t="shared" si="5"/>
        <v>2.9090909090909092</v>
      </c>
      <c r="Y9" s="1">
        <f t="shared" si="6"/>
        <v>1.670170462809917</v>
      </c>
      <c r="Z9" s="1">
        <v>38.97</v>
      </c>
      <c r="AA9" s="1">
        <f t="shared" si="7"/>
        <v>8.8000000000000007</v>
      </c>
    </row>
    <row r="10" spans="1:27" x14ac:dyDescent="0.25">
      <c r="A10" s="8">
        <v>6</v>
      </c>
      <c r="B10" s="18" t="s">
        <v>82</v>
      </c>
      <c r="C10" s="8"/>
      <c r="D10" s="8"/>
      <c r="E10" s="8">
        <v>17</v>
      </c>
      <c r="F10" s="8"/>
      <c r="G10" s="8"/>
      <c r="H10" s="8"/>
      <c r="I10" s="8"/>
      <c r="J10" s="8">
        <f t="shared" si="0"/>
        <v>1224</v>
      </c>
      <c r="K10" s="8">
        <f t="shared" si="1"/>
        <v>1360</v>
      </c>
      <c r="L10" s="16">
        <v>1</v>
      </c>
      <c r="M10" s="8">
        <v>0.9</v>
      </c>
      <c r="N10" s="17">
        <f t="shared" si="2"/>
        <v>6.1818181818181817</v>
      </c>
      <c r="O10" s="8">
        <v>1</v>
      </c>
      <c r="P10" s="22" t="s">
        <v>118</v>
      </c>
      <c r="Q10" s="8">
        <v>2.5</v>
      </c>
      <c r="R10" s="8" t="s">
        <v>113</v>
      </c>
      <c r="S10" s="19" t="s">
        <v>37</v>
      </c>
      <c r="U10" s="1">
        <f t="shared" si="3"/>
        <v>23.636363636363633</v>
      </c>
      <c r="V10" s="1">
        <f t="shared" si="4"/>
        <v>20.909090909090907</v>
      </c>
      <c r="W10" s="1">
        <f t="shared" si="5"/>
        <v>9.0909090909090899</v>
      </c>
      <c r="Y10" s="1">
        <f t="shared" si="6"/>
        <v>0.78426029752066118</v>
      </c>
      <c r="Z10" s="1">
        <v>36.06</v>
      </c>
      <c r="AA10" s="1">
        <f t="shared" si="7"/>
        <v>8.8000000000000007</v>
      </c>
    </row>
    <row r="11" spans="1:27" x14ac:dyDescent="0.25">
      <c r="A11" s="8">
        <v>7</v>
      </c>
      <c r="B11" s="18" t="s">
        <v>82</v>
      </c>
      <c r="C11" s="8">
        <v>37</v>
      </c>
      <c r="D11" s="8"/>
      <c r="E11" s="8">
        <v>7</v>
      </c>
      <c r="F11" s="8"/>
      <c r="G11" s="8"/>
      <c r="H11" s="8"/>
      <c r="I11" s="8"/>
      <c r="J11" s="8">
        <f t="shared" si="0"/>
        <v>1059</v>
      </c>
      <c r="K11" s="17">
        <f t="shared" si="1"/>
        <v>1176.6666666666667</v>
      </c>
      <c r="L11" s="16">
        <v>1</v>
      </c>
      <c r="M11" s="8">
        <v>0.9</v>
      </c>
      <c r="N11" s="17">
        <f t="shared" si="2"/>
        <v>5.3484848484848486</v>
      </c>
      <c r="O11" s="8">
        <v>1</v>
      </c>
      <c r="P11" s="22" t="s">
        <v>124</v>
      </c>
      <c r="Q11" s="8">
        <v>2.5</v>
      </c>
      <c r="R11" s="8" t="s">
        <v>112</v>
      </c>
      <c r="S11" s="19" t="s">
        <v>37</v>
      </c>
      <c r="U11" s="1">
        <f t="shared" si="3"/>
        <v>23.636363636363633</v>
      </c>
      <c r="V11" s="1">
        <f t="shared" si="4"/>
        <v>26.257575757575754</v>
      </c>
      <c r="W11" s="1">
        <f t="shared" si="5"/>
        <v>9.0909090909090899</v>
      </c>
      <c r="Y11" s="1">
        <f t="shared" si="6"/>
        <v>2.5583514545454547</v>
      </c>
      <c r="Z11" s="1">
        <v>135.96</v>
      </c>
      <c r="AA11" s="1">
        <f t="shared" si="7"/>
        <v>8.8000000000000007</v>
      </c>
    </row>
    <row r="12" spans="1:27" x14ac:dyDescent="0.25">
      <c r="A12" s="8">
        <v>8</v>
      </c>
      <c r="B12" s="18" t="s">
        <v>83</v>
      </c>
      <c r="C12" s="8"/>
      <c r="D12" s="8"/>
      <c r="E12" s="8"/>
      <c r="F12" s="8">
        <v>8</v>
      </c>
      <c r="G12" s="8">
        <v>4</v>
      </c>
      <c r="H12" s="8"/>
      <c r="I12" s="8"/>
      <c r="J12" s="8">
        <f t="shared" si="0"/>
        <v>1840</v>
      </c>
      <c r="K12" s="8">
        <f t="shared" si="1"/>
        <v>2300</v>
      </c>
      <c r="L12" s="16">
        <v>1</v>
      </c>
      <c r="M12" s="8">
        <v>0.8</v>
      </c>
      <c r="N12" s="17">
        <f t="shared" si="2"/>
        <v>10.454545454545455</v>
      </c>
      <c r="O12" s="8">
        <v>1</v>
      </c>
      <c r="P12" s="22" t="s">
        <v>119</v>
      </c>
      <c r="Q12" s="8">
        <v>2.5</v>
      </c>
      <c r="R12" s="8" t="s">
        <v>112</v>
      </c>
      <c r="S12" s="19" t="s">
        <v>37</v>
      </c>
      <c r="U12" s="1">
        <f t="shared" si="3"/>
        <v>23.636363636363633</v>
      </c>
      <c r="V12" s="1">
        <f t="shared" si="4"/>
        <v>36.712121212121211</v>
      </c>
      <c r="W12" s="1">
        <f t="shared" si="5"/>
        <v>9.0909090909090899</v>
      </c>
      <c r="Y12" s="1">
        <f t="shared" si="6"/>
        <v>0.33413487603305791</v>
      </c>
      <c r="Z12" s="1">
        <v>10.220000000000001</v>
      </c>
      <c r="AA12" s="1">
        <f t="shared" si="7"/>
        <v>8.8000000000000007</v>
      </c>
    </row>
    <row r="13" spans="1:27" x14ac:dyDescent="0.25">
      <c r="A13" s="8">
        <v>9</v>
      </c>
      <c r="B13" s="18" t="s">
        <v>83</v>
      </c>
      <c r="C13" s="8"/>
      <c r="D13" s="8"/>
      <c r="E13" s="8"/>
      <c r="F13" s="8">
        <v>4</v>
      </c>
      <c r="G13" s="8">
        <v>6</v>
      </c>
      <c r="H13" s="8"/>
      <c r="I13" s="8"/>
      <c r="J13" s="8">
        <f t="shared" si="0"/>
        <v>2120</v>
      </c>
      <c r="K13" s="8">
        <f t="shared" si="1"/>
        <v>2650</v>
      </c>
      <c r="L13" s="16">
        <v>1</v>
      </c>
      <c r="M13" s="8">
        <v>0.8</v>
      </c>
      <c r="N13" s="17">
        <f t="shared" si="2"/>
        <v>12.045454545454545</v>
      </c>
      <c r="O13" s="8">
        <v>1</v>
      </c>
      <c r="P13" s="22" t="s">
        <v>119</v>
      </c>
      <c r="Q13" s="8">
        <v>2.5</v>
      </c>
      <c r="R13" s="8" t="s">
        <v>113</v>
      </c>
      <c r="S13" s="19" t="s">
        <v>37</v>
      </c>
      <c r="U13" s="1">
        <f t="shared" si="3"/>
        <v>23.636363636363633</v>
      </c>
      <c r="V13" s="1">
        <f t="shared" si="4"/>
        <v>36.712121212121211</v>
      </c>
      <c r="W13" s="1">
        <f t="shared" si="5"/>
        <v>21.136363636363633</v>
      </c>
      <c r="Y13" s="1">
        <f t="shared" si="6"/>
        <v>0.64301702479338851</v>
      </c>
      <c r="Z13" s="1">
        <v>17.07</v>
      </c>
      <c r="AA13" s="1">
        <f t="shared" si="7"/>
        <v>8.8000000000000007</v>
      </c>
    </row>
    <row r="14" spans="1:27" x14ac:dyDescent="0.25">
      <c r="A14" s="8">
        <v>10</v>
      </c>
      <c r="B14" s="18" t="s">
        <v>83</v>
      </c>
      <c r="C14" s="8"/>
      <c r="D14" s="8"/>
      <c r="E14" s="8"/>
      <c r="F14" s="8">
        <v>18</v>
      </c>
      <c r="G14" s="8">
        <v>4</v>
      </c>
      <c r="H14" s="8"/>
      <c r="I14" s="8"/>
      <c r="J14" s="8">
        <f t="shared" si="0"/>
        <v>2640</v>
      </c>
      <c r="K14" s="8">
        <f t="shared" si="1"/>
        <v>3300</v>
      </c>
      <c r="L14" s="16">
        <v>1</v>
      </c>
      <c r="M14" s="8">
        <v>0.8</v>
      </c>
      <c r="N14" s="17">
        <f t="shared" si="2"/>
        <v>15</v>
      </c>
      <c r="O14" s="8">
        <v>1</v>
      </c>
      <c r="P14" s="22" t="s">
        <v>119</v>
      </c>
      <c r="Q14" s="8">
        <v>2.5</v>
      </c>
      <c r="R14" s="8" t="s">
        <v>111</v>
      </c>
      <c r="S14" s="19" t="s">
        <v>37</v>
      </c>
      <c r="U14" s="1">
        <f t="shared" si="3"/>
        <v>38.636363636363633</v>
      </c>
      <c r="V14" s="1">
        <f t="shared" si="4"/>
        <v>36.712121212121211</v>
      </c>
      <c r="W14" s="1">
        <f t="shared" si="5"/>
        <v>21.136363636363633</v>
      </c>
      <c r="Y14" s="1">
        <f t="shared" si="6"/>
        <v>1.1258181818181818</v>
      </c>
      <c r="Z14" s="1">
        <v>24</v>
      </c>
      <c r="AA14" s="1">
        <f t="shared" si="7"/>
        <v>8.8000000000000007</v>
      </c>
    </row>
    <row r="15" spans="1:27" x14ac:dyDescent="0.25">
      <c r="A15" s="8">
        <v>11</v>
      </c>
      <c r="B15" s="18" t="s">
        <v>83</v>
      </c>
      <c r="C15" s="8"/>
      <c r="D15" s="8"/>
      <c r="E15" s="8"/>
      <c r="F15" s="8">
        <v>2</v>
      </c>
      <c r="G15" s="8">
        <v>3</v>
      </c>
      <c r="H15" s="8"/>
      <c r="I15" s="8"/>
      <c r="J15" s="8">
        <f t="shared" si="0"/>
        <v>1060</v>
      </c>
      <c r="K15" s="8">
        <f t="shared" si="1"/>
        <v>1325</v>
      </c>
      <c r="L15" s="16">
        <v>1</v>
      </c>
      <c r="M15" s="8">
        <v>0.8</v>
      </c>
      <c r="N15" s="17">
        <f t="shared" si="2"/>
        <v>6.0227272727272725</v>
      </c>
      <c r="O15" s="8">
        <v>1</v>
      </c>
      <c r="P15" s="22" t="s">
        <v>118</v>
      </c>
      <c r="Q15" s="8">
        <v>2.5</v>
      </c>
      <c r="R15" s="8" t="s">
        <v>112</v>
      </c>
      <c r="S15" s="19" t="s">
        <v>37</v>
      </c>
      <c r="U15" s="1">
        <f t="shared" si="3"/>
        <v>38.636363636363633</v>
      </c>
      <c r="V15" s="1">
        <f t="shared" si="4"/>
        <v>42.734848484848484</v>
      </c>
      <c r="W15" s="1">
        <f t="shared" si="5"/>
        <v>21.136363636363633</v>
      </c>
      <c r="Y15" s="1">
        <f t="shared" si="6"/>
        <v>0.1299595041322314</v>
      </c>
      <c r="Z15" s="1">
        <v>6.9</v>
      </c>
      <c r="AA15" s="1">
        <f t="shared" si="7"/>
        <v>8.8000000000000007</v>
      </c>
    </row>
    <row r="16" spans="1:27" x14ac:dyDescent="0.25">
      <c r="A16" s="8">
        <v>12</v>
      </c>
      <c r="B16" s="18" t="s">
        <v>83</v>
      </c>
      <c r="C16" s="8"/>
      <c r="D16" s="8"/>
      <c r="E16" s="8"/>
      <c r="F16" s="8">
        <v>9</v>
      </c>
      <c r="G16" s="8"/>
      <c r="H16" s="8">
        <v>3</v>
      </c>
      <c r="I16" s="8"/>
      <c r="J16" s="8">
        <f t="shared" si="0"/>
        <v>2160</v>
      </c>
      <c r="K16" s="8">
        <f t="shared" si="1"/>
        <v>2700</v>
      </c>
      <c r="L16" s="16">
        <v>1</v>
      </c>
      <c r="M16" s="8">
        <v>0.8</v>
      </c>
      <c r="N16" s="17">
        <f t="shared" si="2"/>
        <v>12.272727272727273</v>
      </c>
      <c r="O16" s="8">
        <v>1</v>
      </c>
      <c r="P16" s="22" t="s">
        <v>119</v>
      </c>
      <c r="Q16" s="8">
        <v>2.5</v>
      </c>
      <c r="R16" s="8" t="s">
        <v>113</v>
      </c>
      <c r="S16" s="19" t="s">
        <v>37</v>
      </c>
      <c r="U16" s="1">
        <f t="shared" si="3"/>
        <v>38.636363636363633</v>
      </c>
      <c r="V16" s="1">
        <f t="shared" si="4"/>
        <v>42.734848484848484</v>
      </c>
      <c r="W16" s="1">
        <f t="shared" si="5"/>
        <v>33.409090909090907</v>
      </c>
      <c r="Y16" s="1">
        <f t="shared" si="6"/>
        <v>0.70465983471074389</v>
      </c>
      <c r="Z16" s="1">
        <v>18.36</v>
      </c>
      <c r="AA16" s="1">
        <f t="shared" si="7"/>
        <v>8.8000000000000007</v>
      </c>
    </row>
    <row r="17" spans="1:27" x14ac:dyDescent="0.25">
      <c r="A17" s="8">
        <v>13</v>
      </c>
      <c r="B17" s="18" t="s">
        <v>83</v>
      </c>
      <c r="C17" s="8"/>
      <c r="D17" s="8"/>
      <c r="E17" s="8"/>
      <c r="F17" s="8">
        <v>4</v>
      </c>
      <c r="G17" s="8">
        <v>5</v>
      </c>
      <c r="H17" s="8"/>
      <c r="I17" s="8"/>
      <c r="J17" s="8">
        <f t="shared" si="0"/>
        <v>1820</v>
      </c>
      <c r="K17" s="8">
        <f t="shared" ref="K17:K22" si="8">J17/M17</f>
        <v>2275</v>
      </c>
      <c r="L17" s="16">
        <v>1</v>
      </c>
      <c r="M17" s="8">
        <v>0.8</v>
      </c>
      <c r="N17" s="17">
        <f t="shared" ref="N17:N21" si="9">K17*L17/220</f>
        <v>10.340909090909092</v>
      </c>
      <c r="O17" s="8">
        <v>1</v>
      </c>
      <c r="P17" s="22" t="s">
        <v>119</v>
      </c>
      <c r="Q17" s="8">
        <v>2.5</v>
      </c>
      <c r="R17" s="8" t="s">
        <v>111</v>
      </c>
      <c r="S17" s="19" t="s">
        <v>37</v>
      </c>
      <c r="U17" s="1">
        <f t="shared" si="3"/>
        <v>48.977272727272727</v>
      </c>
      <c r="V17" s="1">
        <f t="shared" si="4"/>
        <v>42.734848484848484</v>
      </c>
      <c r="W17" s="1">
        <f t="shared" si="5"/>
        <v>33.409090909090907</v>
      </c>
      <c r="Y17" s="1">
        <f t="shared" si="6"/>
        <v>0.8492180165289257</v>
      </c>
      <c r="Z17" s="1">
        <v>26.26</v>
      </c>
      <c r="AA17" s="1">
        <f t="shared" si="7"/>
        <v>8.8000000000000007</v>
      </c>
    </row>
    <row r="18" spans="1:27" x14ac:dyDescent="0.25">
      <c r="A18" s="8">
        <v>14</v>
      </c>
      <c r="B18" s="18" t="s">
        <v>83</v>
      </c>
      <c r="C18" s="8"/>
      <c r="D18" s="8"/>
      <c r="E18" s="8"/>
      <c r="F18" s="8">
        <v>4</v>
      </c>
      <c r="G18" s="8"/>
      <c r="H18" s="8">
        <v>3</v>
      </c>
      <c r="I18" s="8"/>
      <c r="J18" s="8">
        <f t="shared" si="0"/>
        <v>1760</v>
      </c>
      <c r="K18" s="8">
        <f t="shared" si="8"/>
        <v>2200</v>
      </c>
      <c r="L18" s="16">
        <v>1</v>
      </c>
      <c r="M18" s="8">
        <v>0.8</v>
      </c>
      <c r="N18" s="17">
        <f t="shared" si="9"/>
        <v>10</v>
      </c>
      <c r="O18" s="8">
        <v>1</v>
      </c>
      <c r="P18" s="22" t="s">
        <v>119</v>
      </c>
      <c r="Q18" s="8">
        <v>2.5</v>
      </c>
      <c r="R18" s="8" t="s">
        <v>112</v>
      </c>
      <c r="S18" s="19" t="s">
        <v>37</v>
      </c>
      <c r="U18" s="1">
        <f t="shared" si="3"/>
        <v>48.977272727272727</v>
      </c>
      <c r="V18" s="1">
        <f t="shared" si="4"/>
        <v>52.734848484848484</v>
      </c>
      <c r="W18" s="1">
        <f t="shared" si="5"/>
        <v>33.409090909090907</v>
      </c>
      <c r="Y18" s="1">
        <f t="shared" si="6"/>
        <v>0.93098909090909077</v>
      </c>
      <c r="Z18" s="1">
        <v>29.77</v>
      </c>
      <c r="AA18" s="1">
        <f t="shared" si="7"/>
        <v>8.8000000000000007</v>
      </c>
    </row>
    <row r="19" spans="1:27" x14ac:dyDescent="0.25">
      <c r="A19" s="8">
        <v>15</v>
      </c>
      <c r="B19" s="18" t="s">
        <v>83</v>
      </c>
      <c r="C19" s="8"/>
      <c r="D19" s="8"/>
      <c r="E19" s="8"/>
      <c r="F19" s="8">
        <v>5</v>
      </c>
      <c r="G19" s="8">
        <v>1</v>
      </c>
      <c r="H19" s="8"/>
      <c r="I19" s="8"/>
      <c r="J19" s="8">
        <f t="shared" si="0"/>
        <v>700</v>
      </c>
      <c r="K19" s="8">
        <f t="shared" si="8"/>
        <v>875</v>
      </c>
      <c r="L19" s="16">
        <v>1</v>
      </c>
      <c r="M19" s="8">
        <v>0.8</v>
      </c>
      <c r="N19" s="17">
        <f t="shared" si="9"/>
        <v>3.9772727272727271</v>
      </c>
      <c r="O19" s="8">
        <v>1</v>
      </c>
      <c r="P19" s="22" t="s">
        <v>124</v>
      </c>
      <c r="Q19" s="8">
        <v>2.5</v>
      </c>
      <c r="R19" s="8" t="s">
        <v>113</v>
      </c>
      <c r="S19" s="19" t="s">
        <v>37</v>
      </c>
      <c r="U19" s="1">
        <f t="shared" si="3"/>
        <v>48.977272727272727</v>
      </c>
      <c r="V19" s="1">
        <f t="shared" si="4"/>
        <v>52.734848484848484</v>
      </c>
      <c r="W19" s="1">
        <f t="shared" si="5"/>
        <v>37.386363636363633</v>
      </c>
      <c r="Y19" s="1">
        <f t="shared" si="6"/>
        <v>0.3327169421487603</v>
      </c>
      <c r="Z19" s="1">
        <v>26.75</v>
      </c>
      <c r="AA19" s="1">
        <f t="shared" si="7"/>
        <v>8.8000000000000007</v>
      </c>
    </row>
    <row r="20" spans="1:27" x14ac:dyDescent="0.25">
      <c r="A20" s="8">
        <v>16</v>
      </c>
      <c r="B20" s="18" t="s">
        <v>83</v>
      </c>
      <c r="C20" s="8"/>
      <c r="D20" s="8"/>
      <c r="E20" s="8"/>
      <c r="F20" s="8">
        <v>2</v>
      </c>
      <c r="G20" s="8">
        <v>8</v>
      </c>
      <c r="H20" s="8"/>
      <c r="I20" s="8"/>
      <c r="J20" s="8">
        <f t="shared" si="0"/>
        <v>2560</v>
      </c>
      <c r="K20" s="8">
        <f t="shared" si="8"/>
        <v>3200</v>
      </c>
      <c r="L20" s="16">
        <v>1</v>
      </c>
      <c r="M20" s="8">
        <v>0.8</v>
      </c>
      <c r="N20" s="17">
        <f t="shared" si="9"/>
        <v>14.545454545454545</v>
      </c>
      <c r="O20" s="8">
        <v>1</v>
      </c>
      <c r="P20" s="22" t="s">
        <v>119</v>
      </c>
      <c r="Q20" s="8">
        <v>2.5</v>
      </c>
      <c r="R20" s="8" t="s">
        <v>113</v>
      </c>
      <c r="S20" s="19" t="s">
        <v>37</v>
      </c>
      <c r="U20" s="1">
        <f t="shared" si="3"/>
        <v>48.977272727272727</v>
      </c>
      <c r="V20" s="1">
        <f t="shared" si="4"/>
        <v>52.734848484848484</v>
      </c>
      <c r="W20" s="1">
        <f t="shared" si="5"/>
        <v>51.93181818181818</v>
      </c>
      <c r="Y20" s="1">
        <f t="shared" si="6"/>
        <v>1.4847153719008264</v>
      </c>
      <c r="Z20" s="1">
        <v>32.64</v>
      </c>
      <c r="AA20" s="1">
        <f t="shared" si="7"/>
        <v>8.8000000000000007</v>
      </c>
    </row>
    <row r="21" spans="1:27" x14ac:dyDescent="0.25">
      <c r="A21" s="8">
        <v>17</v>
      </c>
      <c r="B21" s="18" t="s">
        <v>83</v>
      </c>
      <c r="C21" s="8"/>
      <c r="D21" s="8"/>
      <c r="E21" s="8"/>
      <c r="F21" s="8"/>
      <c r="G21" s="8"/>
      <c r="H21" s="8">
        <v>1</v>
      </c>
      <c r="I21" s="8"/>
      <c r="J21" s="8">
        <f t="shared" si="0"/>
        <v>480</v>
      </c>
      <c r="K21" s="8">
        <f t="shared" si="8"/>
        <v>600</v>
      </c>
      <c r="L21" s="16">
        <v>1</v>
      </c>
      <c r="M21" s="8">
        <v>0.8</v>
      </c>
      <c r="N21" s="17">
        <f t="shared" si="9"/>
        <v>2.7272727272727271</v>
      </c>
      <c r="O21" s="8">
        <v>1</v>
      </c>
      <c r="P21" s="22" t="s">
        <v>124</v>
      </c>
      <c r="Q21" s="8">
        <v>2.5</v>
      </c>
      <c r="R21" s="8" t="s">
        <v>111</v>
      </c>
      <c r="S21" s="19" t="s">
        <v>37</v>
      </c>
      <c r="U21" s="1">
        <f t="shared" si="3"/>
        <v>51.704545454545453</v>
      </c>
      <c r="V21" s="1">
        <f t="shared" si="4"/>
        <v>52.734848484848484</v>
      </c>
      <c r="W21" s="1">
        <f t="shared" si="5"/>
        <v>51.93181818181818</v>
      </c>
      <c r="Y21" s="1">
        <f t="shared" si="6"/>
        <v>0.21961983471074378</v>
      </c>
      <c r="Z21" s="1">
        <v>25.75</v>
      </c>
      <c r="AA21" s="1">
        <f t="shared" si="7"/>
        <v>8.8000000000000007</v>
      </c>
    </row>
    <row r="22" spans="1:27" x14ac:dyDescent="0.25">
      <c r="A22" s="8">
        <v>18</v>
      </c>
      <c r="B22" s="18" t="s">
        <v>84</v>
      </c>
      <c r="C22" s="8"/>
      <c r="D22" s="8"/>
      <c r="E22" s="8"/>
      <c r="F22" s="8"/>
      <c r="G22" s="8"/>
      <c r="H22" s="8"/>
      <c r="I22" s="8">
        <v>1</v>
      </c>
      <c r="J22" s="8">
        <f t="shared" si="0"/>
        <v>36814</v>
      </c>
      <c r="K22" s="8">
        <f t="shared" si="8"/>
        <v>46017.5</v>
      </c>
      <c r="L22" s="16">
        <v>1</v>
      </c>
      <c r="M22" s="8">
        <v>0.8</v>
      </c>
      <c r="N22" s="17">
        <v>71.8</v>
      </c>
      <c r="O22" s="8">
        <v>3</v>
      </c>
      <c r="P22" s="8" t="s">
        <v>120</v>
      </c>
      <c r="Q22" s="8">
        <v>25</v>
      </c>
      <c r="R22" s="8" t="s">
        <v>117</v>
      </c>
      <c r="S22" s="19" t="s">
        <v>37</v>
      </c>
      <c r="T22" s="1" t="s">
        <v>85</v>
      </c>
      <c r="U22" s="1">
        <f>IF(R22="A",U21+N22,U21)</f>
        <v>51.704545454545453</v>
      </c>
      <c r="V22" s="1">
        <f t="shared" si="4"/>
        <v>52.734848484848484</v>
      </c>
      <c r="W22" s="1">
        <f t="shared" si="5"/>
        <v>51.93181818181818</v>
      </c>
    </row>
    <row r="23" spans="1:27" x14ac:dyDescent="0.25">
      <c r="A23" s="8" t="s">
        <v>85</v>
      </c>
      <c r="B23" s="18"/>
      <c r="C23" s="8">
        <f>SUM(C5:C22)</f>
        <v>37</v>
      </c>
      <c r="D23" s="8">
        <f t="shared" ref="D23:I23" si="10">SUM(D5:D22)</f>
        <v>5</v>
      </c>
      <c r="E23" s="8">
        <f t="shared" si="10"/>
        <v>152</v>
      </c>
      <c r="F23" s="8">
        <f t="shared" si="10"/>
        <v>56</v>
      </c>
      <c r="G23" s="8">
        <f t="shared" si="10"/>
        <v>31</v>
      </c>
      <c r="H23" s="8">
        <f t="shared" si="10"/>
        <v>7</v>
      </c>
      <c r="I23" s="8">
        <f t="shared" si="10"/>
        <v>1</v>
      </c>
      <c r="J23" s="8">
        <f t="shared" ref="J23" si="11">SUM(J5:J22)</f>
        <v>65633</v>
      </c>
      <c r="K23" s="8">
        <f t="shared" ref="K23" si="12">SUM(K5:K22)</f>
        <v>80419.166666666657</v>
      </c>
      <c r="L23" s="16"/>
      <c r="M23" s="8"/>
      <c r="N23" s="17"/>
      <c r="O23" s="8"/>
      <c r="P23" s="8"/>
      <c r="Q23" s="8"/>
      <c r="R23" s="8"/>
      <c r="S23" s="8"/>
      <c r="T23" s="1" t="s">
        <v>114</v>
      </c>
      <c r="U23" s="1">
        <f>ROUND(U22,1)+'QD SPLITS'!S26</f>
        <v>121.8</v>
      </c>
      <c r="V23" s="1">
        <f>ROUND(V22,1)+'QD SPLITS'!T26</f>
        <v>124.5</v>
      </c>
      <c r="W23" s="1">
        <f>ROUND(W22,1)+'QD SPLITS'!U26</f>
        <v>119.19999999999999</v>
      </c>
    </row>
    <row r="24" spans="1:27" x14ac:dyDescent="0.25">
      <c r="A24" s="8" t="s">
        <v>86</v>
      </c>
      <c r="B24" s="18" t="s">
        <v>87</v>
      </c>
      <c r="C24" s="8"/>
      <c r="D24" s="8"/>
      <c r="E24" s="8"/>
      <c r="F24" s="8"/>
      <c r="G24" s="8"/>
      <c r="H24" s="8"/>
      <c r="I24" s="8"/>
      <c r="J24" s="8">
        <f>J23</f>
        <v>65633</v>
      </c>
      <c r="K24" s="8">
        <f>ROUND(K23,2)</f>
        <v>80419.17</v>
      </c>
      <c r="L24" s="16">
        <f>ROUND(K24/K23,2)</f>
        <v>1</v>
      </c>
      <c r="M24" s="9">
        <f>J24/K24</f>
        <v>0.81613625209014218</v>
      </c>
      <c r="N24" s="17">
        <f>K24/(SQRT(3)*380)</f>
        <v>122.18428801975337</v>
      </c>
      <c r="O24" s="8">
        <v>3</v>
      </c>
      <c r="P24" s="8" t="s">
        <v>134</v>
      </c>
      <c r="Q24" s="8">
        <v>35</v>
      </c>
      <c r="R24" s="8" t="s">
        <v>117</v>
      </c>
      <c r="S24" s="19" t="s">
        <v>37</v>
      </c>
    </row>
    <row r="25" spans="1:27" ht="30" customHeight="1" x14ac:dyDescent="0.25">
      <c r="A25" s="37" t="str">
        <f>"POTÊNCIA DEMANDADA: "&amp;L24*100&amp;"% "&amp;"("&amp;J24&amp;" W)"&amp;" ("&amp;K24&amp;" VA)"</f>
        <v>POTÊNCIA DEMANDADA: 100% (65633 W) (80419,17 VA)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U25" s="23">
        <f>K24/75000-1</f>
        <v>7.2255600000000086E-2</v>
      </c>
    </row>
    <row r="26" spans="1:27" x14ac:dyDescent="0.25">
      <c r="A26" s="30" t="str">
        <f>"CORRENTE NAS FASES: A="&amp;U23&amp;"A B="&amp;V23&amp;"A C="&amp;W23&amp;"A"</f>
        <v>CORRENTE NAS FASES: A=121,8A B=124,5A C=119,2A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</row>
  </sheetData>
  <mergeCells count="19">
    <mergeCell ref="A3:A4"/>
    <mergeCell ref="B3:B4"/>
    <mergeCell ref="J3:J4"/>
    <mergeCell ref="Y1:AA1"/>
    <mergeCell ref="A26:S26"/>
    <mergeCell ref="Q3:Q4"/>
    <mergeCell ref="R3:R4"/>
    <mergeCell ref="S3:S4"/>
    <mergeCell ref="A1:S1"/>
    <mergeCell ref="A2:S2"/>
    <mergeCell ref="A25:S25"/>
    <mergeCell ref="K3:K4"/>
    <mergeCell ref="L3:L4"/>
    <mergeCell ref="M3:M4"/>
    <mergeCell ref="N3:N4"/>
    <mergeCell ref="O3:O4"/>
    <mergeCell ref="P3:P4"/>
    <mergeCell ref="C3:E3"/>
    <mergeCell ref="F3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2FE2-EA2C-441C-BACB-5FDB9A6C4F2D}">
  <dimension ref="A1:U29"/>
  <sheetViews>
    <sheetView workbookViewId="0">
      <selection activeCell="N26" sqref="N26"/>
    </sheetView>
  </sheetViews>
  <sheetFormatPr defaultRowHeight="15" x14ac:dyDescent="0.25"/>
  <cols>
    <col min="1" max="1" width="9.140625" style="1"/>
    <col min="2" max="2" width="21" style="15" bestFit="1" customWidth="1"/>
    <col min="3" max="9" width="9.140625" style="1"/>
    <col min="10" max="10" width="10.28515625" style="1" customWidth="1"/>
    <col min="11" max="16" width="9.140625" style="1"/>
    <col min="17" max="17" width="30.28515625" style="2" bestFit="1" customWidth="1"/>
    <col min="18" max="16384" width="9.140625" style="1"/>
  </cols>
  <sheetData>
    <row r="1" spans="1:21" ht="18.75" x14ac:dyDescent="0.25">
      <c r="A1" s="35" t="s">
        <v>56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S1" s="1" t="s">
        <v>111</v>
      </c>
      <c r="T1" s="1" t="s">
        <v>112</v>
      </c>
      <c r="U1" s="1" t="s">
        <v>113</v>
      </c>
    </row>
    <row r="2" spans="1:21" ht="15.75" x14ac:dyDescent="0.25">
      <c r="A2" s="36" t="s">
        <v>90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21" x14ac:dyDescent="0.25">
      <c r="A3" s="34" t="s">
        <v>58</v>
      </c>
      <c r="B3" s="34" t="s">
        <v>59</v>
      </c>
      <c r="C3" s="34" t="s">
        <v>68</v>
      </c>
      <c r="D3" s="34"/>
      <c r="E3" s="34"/>
      <c r="F3" s="34"/>
      <c r="G3" s="34"/>
      <c r="H3" s="34" t="s">
        <v>74</v>
      </c>
      <c r="I3" s="34" t="s">
        <v>75</v>
      </c>
      <c r="J3" s="33" t="s">
        <v>76</v>
      </c>
      <c r="K3" s="34" t="s">
        <v>77</v>
      </c>
      <c r="L3" s="33" t="s">
        <v>116</v>
      </c>
      <c r="M3" s="34" t="s">
        <v>78</v>
      </c>
      <c r="N3" s="33" t="s">
        <v>115</v>
      </c>
      <c r="O3" s="33" t="s">
        <v>79</v>
      </c>
      <c r="P3" s="33" t="s">
        <v>80</v>
      </c>
      <c r="Q3" s="34" t="s">
        <v>81</v>
      </c>
    </row>
    <row r="4" spans="1:21" x14ac:dyDescent="0.25">
      <c r="A4" s="34"/>
      <c r="B4" s="34"/>
      <c r="C4" s="8" t="s">
        <v>69</v>
      </c>
      <c r="D4" s="8" t="s">
        <v>70</v>
      </c>
      <c r="E4" s="8" t="s">
        <v>71</v>
      </c>
      <c r="F4" s="8" t="s">
        <v>72</v>
      </c>
      <c r="G4" s="8" t="s">
        <v>73</v>
      </c>
      <c r="H4" s="34"/>
      <c r="I4" s="34"/>
      <c r="J4" s="33"/>
      <c r="K4" s="34"/>
      <c r="L4" s="33"/>
      <c r="M4" s="34"/>
      <c r="N4" s="33"/>
      <c r="O4" s="33"/>
      <c r="P4" s="33"/>
      <c r="Q4" s="34"/>
    </row>
    <row r="5" spans="1:21" x14ac:dyDescent="0.25">
      <c r="A5" s="8">
        <v>1</v>
      </c>
      <c r="B5" s="18" t="s">
        <v>89</v>
      </c>
      <c r="C5" s="8"/>
      <c r="D5" s="8"/>
      <c r="E5" s="8">
        <v>1</v>
      </c>
      <c r="F5" s="8"/>
      <c r="G5" s="8"/>
      <c r="H5" s="8">
        <f>C5*807+D5*1057+E5*1583+F5*2170+G5*2714</f>
        <v>1583</v>
      </c>
      <c r="I5" s="17">
        <f>H5/K5</f>
        <v>1978.75</v>
      </c>
      <c r="J5" s="16">
        <v>1</v>
      </c>
      <c r="K5" s="8">
        <v>0.8</v>
      </c>
      <c r="L5" s="17">
        <f>I5*J5/220</f>
        <v>8.9943181818181817</v>
      </c>
      <c r="M5" s="8">
        <v>1</v>
      </c>
      <c r="N5" s="8" t="s">
        <v>119</v>
      </c>
      <c r="O5" s="8">
        <v>4</v>
      </c>
      <c r="P5" s="8" t="s">
        <v>111</v>
      </c>
      <c r="Q5" s="7" t="s">
        <v>102</v>
      </c>
      <c r="S5" s="1">
        <f>IF(P5="A",S4+L5,S4)</f>
        <v>8.9943181818181817</v>
      </c>
      <c r="T5" s="1">
        <f>IF(P5="B",T4+L5,T4)</f>
        <v>0</v>
      </c>
      <c r="U5" s="1">
        <f>IF(P5="C",U4+L5,U4)</f>
        <v>0</v>
      </c>
    </row>
    <row r="6" spans="1:21" x14ac:dyDescent="0.25">
      <c r="A6" s="8">
        <v>2</v>
      </c>
      <c r="B6" s="18" t="s">
        <v>89</v>
      </c>
      <c r="C6" s="8">
        <v>1</v>
      </c>
      <c r="D6" s="8"/>
      <c r="E6" s="8"/>
      <c r="F6" s="8"/>
      <c r="G6" s="8"/>
      <c r="H6" s="8">
        <f t="shared" ref="H6:H25" si="0">C6*807+D6*1057+E6*1583+F6*2170+G6*2714</f>
        <v>807</v>
      </c>
      <c r="I6" s="17">
        <f t="shared" ref="I6:I25" si="1">H6/K6</f>
        <v>1008.75</v>
      </c>
      <c r="J6" s="16">
        <v>1</v>
      </c>
      <c r="K6" s="8">
        <v>0.8</v>
      </c>
      <c r="L6" s="17">
        <f t="shared" ref="L6:L25" si="2">I6*J6/220</f>
        <v>4.5852272727272725</v>
      </c>
      <c r="M6" s="8">
        <v>1</v>
      </c>
      <c r="N6" s="21" t="s">
        <v>118</v>
      </c>
      <c r="O6" s="8">
        <v>4</v>
      </c>
      <c r="P6" s="8" t="s">
        <v>113</v>
      </c>
      <c r="Q6" s="7" t="s">
        <v>91</v>
      </c>
      <c r="S6" s="1">
        <f t="shared" ref="S6:S25" si="3">IF(P6="A",S5+L6,S5)</f>
        <v>8.9943181818181817</v>
      </c>
      <c r="T6" s="1">
        <f t="shared" ref="T6:T25" si="4">IF(P6="B",T5+L6,T5)</f>
        <v>0</v>
      </c>
      <c r="U6" s="1">
        <f t="shared" ref="U6:U25" si="5">IF(P6="C",U5+L6,U5)</f>
        <v>4.5852272727272725</v>
      </c>
    </row>
    <row r="7" spans="1:21" x14ac:dyDescent="0.25">
      <c r="A7" s="8">
        <v>3</v>
      </c>
      <c r="B7" s="18" t="s">
        <v>89</v>
      </c>
      <c r="C7" s="8"/>
      <c r="D7" s="8"/>
      <c r="E7" s="8"/>
      <c r="F7" s="8">
        <v>1</v>
      </c>
      <c r="G7" s="8"/>
      <c r="H7" s="8">
        <f t="shared" si="0"/>
        <v>2170</v>
      </c>
      <c r="I7" s="17">
        <f t="shared" si="1"/>
        <v>2712.5</v>
      </c>
      <c r="J7" s="16">
        <v>1</v>
      </c>
      <c r="K7" s="8">
        <v>0.8</v>
      </c>
      <c r="L7" s="17">
        <f t="shared" si="2"/>
        <v>12.329545454545455</v>
      </c>
      <c r="M7" s="8">
        <v>1</v>
      </c>
      <c r="N7" s="8" t="s">
        <v>119</v>
      </c>
      <c r="O7" s="8">
        <v>4</v>
      </c>
      <c r="P7" s="8" t="s">
        <v>111</v>
      </c>
      <c r="Q7" s="7" t="s">
        <v>92</v>
      </c>
      <c r="S7" s="1">
        <f t="shared" si="3"/>
        <v>21.323863636363637</v>
      </c>
      <c r="T7" s="1">
        <f t="shared" si="4"/>
        <v>0</v>
      </c>
      <c r="U7" s="1">
        <f t="shared" si="5"/>
        <v>4.5852272727272725</v>
      </c>
    </row>
    <row r="8" spans="1:21" x14ac:dyDescent="0.25">
      <c r="A8" s="8">
        <v>4</v>
      </c>
      <c r="B8" s="18" t="s">
        <v>89</v>
      </c>
      <c r="C8" s="8">
        <v>1</v>
      </c>
      <c r="D8" s="8"/>
      <c r="E8" s="8"/>
      <c r="F8" s="8"/>
      <c r="G8" s="8"/>
      <c r="H8" s="8">
        <f t="shared" si="0"/>
        <v>807</v>
      </c>
      <c r="I8" s="17">
        <f t="shared" si="1"/>
        <v>1008.75</v>
      </c>
      <c r="J8" s="16">
        <v>1</v>
      </c>
      <c r="K8" s="8">
        <v>0.8</v>
      </c>
      <c r="L8" s="17">
        <f t="shared" si="2"/>
        <v>4.5852272727272725</v>
      </c>
      <c r="M8" s="8">
        <v>1</v>
      </c>
      <c r="N8" s="21" t="s">
        <v>118</v>
      </c>
      <c r="O8" s="8">
        <v>4</v>
      </c>
      <c r="P8" s="8" t="s">
        <v>112</v>
      </c>
      <c r="Q8" s="7" t="s">
        <v>93</v>
      </c>
      <c r="S8" s="1">
        <f t="shared" si="3"/>
        <v>21.323863636363637</v>
      </c>
      <c r="T8" s="1">
        <f t="shared" si="4"/>
        <v>4.5852272727272725</v>
      </c>
      <c r="U8" s="1">
        <f t="shared" si="5"/>
        <v>4.5852272727272725</v>
      </c>
    </row>
    <row r="9" spans="1:21" x14ac:dyDescent="0.25">
      <c r="A9" s="8">
        <v>5</v>
      </c>
      <c r="B9" s="18" t="s">
        <v>89</v>
      </c>
      <c r="C9" s="8">
        <v>1</v>
      </c>
      <c r="D9" s="8"/>
      <c r="E9" s="8"/>
      <c r="F9" s="8"/>
      <c r="G9" s="8"/>
      <c r="H9" s="8">
        <f t="shared" si="0"/>
        <v>807</v>
      </c>
      <c r="I9" s="17">
        <f t="shared" si="1"/>
        <v>1008.75</v>
      </c>
      <c r="J9" s="16">
        <v>1</v>
      </c>
      <c r="K9" s="8">
        <v>0.8</v>
      </c>
      <c r="L9" s="17">
        <f t="shared" si="2"/>
        <v>4.5852272727272725</v>
      </c>
      <c r="M9" s="8">
        <v>1</v>
      </c>
      <c r="N9" s="21" t="s">
        <v>118</v>
      </c>
      <c r="O9" s="8">
        <v>4</v>
      </c>
      <c r="P9" s="8" t="s">
        <v>113</v>
      </c>
      <c r="Q9" s="7" t="s">
        <v>94</v>
      </c>
      <c r="S9" s="1">
        <f t="shared" si="3"/>
        <v>21.323863636363637</v>
      </c>
      <c r="T9" s="1">
        <f t="shared" si="4"/>
        <v>4.5852272727272725</v>
      </c>
      <c r="U9" s="1">
        <f t="shared" si="5"/>
        <v>9.170454545454545</v>
      </c>
    </row>
    <row r="10" spans="1:21" x14ac:dyDescent="0.25">
      <c r="A10" s="8">
        <v>6</v>
      </c>
      <c r="B10" s="18" t="s">
        <v>89</v>
      </c>
      <c r="C10" s="8"/>
      <c r="D10" s="8">
        <v>1</v>
      </c>
      <c r="E10" s="8"/>
      <c r="F10" s="8"/>
      <c r="G10" s="8"/>
      <c r="H10" s="8">
        <f t="shared" si="0"/>
        <v>1057</v>
      </c>
      <c r="I10" s="17">
        <f t="shared" si="1"/>
        <v>1321.25</v>
      </c>
      <c r="J10" s="16">
        <v>1</v>
      </c>
      <c r="K10" s="8">
        <v>0.8</v>
      </c>
      <c r="L10" s="17">
        <f t="shared" si="2"/>
        <v>6.0056818181818183</v>
      </c>
      <c r="M10" s="8">
        <v>1</v>
      </c>
      <c r="N10" s="21" t="s">
        <v>118</v>
      </c>
      <c r="O10" s="8">
        <v>4</v>
      </c>
      <c r="P10" s="8" t="s">
        <v>111</v>
      </c>
      <c r="Q10" s="7" t="s">
        <v>95</v>
      </c>
      <c r="S10" s="1">
        <f t="shared" si="3"/>
        <v>27.329545454545453</v>
      </c>
      <c r="T10" s="1">
        <f t="shared" si="4"/>
        <v>4.5852272727272725</v>
      </c>
      <c r="U10" s="1">
        <f t="shared" si="5"/>
        <v>9.170454545454545</v>
      </c>
    </row>
    <row r="11" spans="1:21" x14ac:dyDescent="0.25">
      <c r="A11" s="8">
        <v>7</v>
      </c>
      <c r="B11" s="18" t="s">
        <v>89</v>
      </c>
      <c r="C11" s="8"/>
      <c r="D11" s="8"/>
      <c r="E11" s="8">
        <v>1</v>
      </c>
      <c r="F11" s="8"/>
      <c r="G11" s="8"/>
      <c r="H11" s="8">
        <f t="shared" si="0"/>
        <v>1583</v>
      </c>
      <c r="I11" s="17">
        <f t="shared" si="1"/>
        <v>1978.75</v>
      </c>
      <c r="J11" s="16">
        <v>1</v>
      </c>
      <c r="K11" s="8">
        <v>0.8</v>
      </c>
      <c r="L11" s="17">
        <f t="shared" si="2"/>
        <v>8.9943181818181817</v>
      </c>
      <c r="M11" s="8">
        <v>1</v>
      </c>
      <c r="N11" s="8" t="s">
        <v>119</v>
      </c>
      <c r="O11" s="8">
        <v>4</v>
      </c>
      <c r="P11" s="8" t="s">
        <v>112</v>
      </c>
      <c r="Q11" s="7" t="s">
        <v>103</v>
      </c>
      <c r="S11" s="1">
        <f t="shared" si="3"/>
        <v>27.329545454545453</v>
      </c>
      <c r="T11" s="1">
        <f t="shared" si="4"/>
        <v>13.579545454545453</v>
      </c>
      <c r="U11" s="1">
        <f t="shared" si="5"/>
        <v>9.170454545454545</v>
      </c>
    </row>
    <row r="12" spans="1:21" x14ac:dyDescent="0.25">
      <c r="A12" s="8">
        <v>8</v>
      </c>
      <c r="B12" s="18" t="s">
        <v>89</v>
      </c>
      <c r="C12" s="8"/>
      <c r="D12" s="8"/>
      <c r="E12" s="8">
        <v>1</v>
      </c>
      <c r="F12" s="8"/>
      <c r="G12" s="8"/>
      <c r="H12" s="8">
        <f t="shared" si="0"/>
        <v>1583</v>
      </c>
      <c r="I12" s="17">
        <f t="shared" si="1"/>
        <v>1978.75</v>
      </c>
      <c r="J12" s="16">
        <v>1</v>
      </c>
      <c r="K12" s="8">
        <v>0.8</v>
      </c>
      <c r="L12" s="17">
        <f t="shared" si="2"/>
        <v>8.9943181818181817</v>
      </c>
      <c r="M12" s="8">
        <v>1</v>
      </c>
      <c r="N12" s="8" t="s">
        <v>119</v>
      </c>
      <c r="O12" s="8">
        <v>4</v>
      </c>
      <c r="P12" s="8" t="s">
        <v>113</v>
      </c>
      <c r="Q12" s="7" t="s">
        <v>96</v>
      </c>
      <c r="S12" s="1">
        <f t="shared" si="3"/>
        <v>27.329545454545453</v>
      </c>
      <c r="T12" s="1">
        <f t="shared" si="4"/>
        <v>13.579545454545453</v>
      </c>
      <c r="U12" s="1">
        <f t="shared" si="5"/>
        <v>18.164772727272727</v>
      </c>
    </row>
    <row r="13" spans="1:21" x14ac:dyDescent="0.25">
      <c r="A13" s="8">
        <v>9</v>
      </c>
      <c r="B13" s="18" t="s">
        <v>89</v>
      </c>
      <c r="C13" s="8"/>
      <c r="D13" s="8"/>
      <c r="E13" s="8">
        <v>1</v>
      </c>
      <c r="F13" s="8"/>
      <c r="G13" s="8"/>
      <c r="H13" s="8">
        <f t="shared" si="0"/>
        <v>1583</v>
      </c>
      <c r="I13" s="17">
        <f t="shared" si="1"/>
        <v>1978.75</v>
      </c>
      <c r="J13" s="16">
        <v>1</v>
      </c>
      <c r="K13" s="8">
        <v>0.8</v>
      </c>
      <c r="L13" s="17">
        <f t="shared" si="2"/>
        <v>8.9943181818181817</v>
      </c>
      <c r="M13" s="8">
        <v>1</v>
      </c>
      <c r="N13" s="8" t="s">
        <v>119</v>
      </c>
      <c r="O13" s="8">
        <v>4</v>
      </c>
      <c r="P13" s="8" t="s">
        <v>111</v>
      </c>
      <c r="Q13" s="7" t="s">
        <v>97</v>
      </c>
      <c r="S13" s="1">
        <f t="shared" si="3"/>
        <v>36.323863636363633</v>
      </c>
      <c r="T13" s="1">
        <f t="shared" si="4"/>
        <v>13.579545454545453</v>
      </c>
      <c r="U13" s="1">
        <f t="shared" si="5"/>
        <v>18.164772727272727</v>
      </c>
    </row>
    <row r="14" spans="1:21" x14ac:dyDescent="0.25">
      <c r="A14" s="8">
        <v>10</v>
      </c>
      <c r="B14" s="18" t="s">
        <v>89</v>
      </c>
      <c r="C14" s="8"/>
      <c r="D14" s="8">
        <v>1</v>
      </c>
      <c r="E14" s="8"/>
      <c r="F14" s="8"/>
      <c r="G14" s="8"/>
      <c r="H14" s="8">
        <f t="shared" si="0"/>
        <v>1057</v>
      </c>
      <c r="I14" s="17">
        <f t="shared" si="1"/>
        <v>1321.25</v>
      </c>
      <c r="J14" s="16">
        <v>1</v>
      </c>
      <c r="K14" s="8">
        <v>0.8</v>
      </c>
      <c r="L14" s="17">
        <f t="shared" si="2"/>
        <v>6.0056818181818183</v>
      </c>
      <c r="M14" s="8">
        <v>1</v>
      </c>
      <c r="N14" s="21" t="s">
        <v>118</v>
      </c>
      <c r="O14" s="8">
        <v>4</v>
      </c>
      <c r="P14" s="8" t="s">
        <v>112</v>
      </c>
      <c r="Q14" s="7" t="s">
        <v>98</v>
      </c>
      <c r="S14" s="1">
        <f t="shared" si="3"/>
        <v>36.323863636363633</v>
      </c>
      <c r="T14" s="1">
        <f t="shared" si="4"/>
        <v>19.585227272727273</v>
      </c>
      <c r="U14" s="1">
        <f t="shared" si="5"/>
        <v>18.164772727272727</v>
      </c>
    </row>
    <row r="15" spans="1:21" x14ac:dyDescent="0.25">
      <c r="A15" s="8">
        <v>11</v>
      </c>
      <c r="B15" s="18" t="s">
        <v>89</v>
      </c>
      <c r="C15" s="8"/>
      <c r="D15" s="8">
        <v>1</v>
      </c>
      <c r="E15" s="8"/>
      <c r="F15" s="8"/>
      <c r="G15" s="8"/>
      <c r="H15" s="8">
        <f t="shared" si="0"/>
        <v>1057</v>
      </c>
      <c r="I15" s="17">
        <f t="shared" si="1"/>
        <v>1321.25</v>
      </c>
      <c r="J15" s="16">
        <v>1</v>
      </c>
      <c r="K15" s="8">
        <v>0.8</v>
      </c>
      <c r="L15" s="17">
        <f t="shared" si="2"/>
        <v>6.0056818181818183</v>
      </c>
      <c r="M15" s="8">
        <v>1</v>
      </c>
      <c r="N15" s="21" t="s">
        <v>118</v>
      </c>
      <c r="O15" s="8">
        <v>4</v>
      </c>
      <c r="P15" s="8" t="s">
        <v>113</v>
      </c>
      <c r="Q15" s="7" t="s">
        <v>99</v>
      </c>
      <c r="S15" s="1">
        <f t="shared" si="3"/>
        <v>36.323863636363633</v>
      </c>
      <c r="T15" s="1">
        <f t="shared" si="4"/>
        <v>19.585227272727273</v>
      </c>
      <c r="U15" s="1">
        <f t="shared" si="5"/>
        <v>24.170454545454547</v>
      </c>
    </row>
    <row r="16" spans="1:21" x14ac:dyDescent="0.25">
      <c r="A16" s="8">
        <v>12</v>
      </c>
      <c r="B16" s="18" t="s">
        <v>89</v>
      </c>
      <c r="C16" s="8"/>
      <c r="D16" s="8">
        <v>1</v>
      </c>
      <c r="E16" s="8"/>
      <c r="F16" s="8"/>
      <c r="G16" s="8"/>
      <c r="H16" s="8">
        <f t="shared" si="0"/>
        <v>1057</v>
      </c>
      <c r="I16" s="17">
        <f t="shared" si="1"/>
        <v>1321.25</v>
      </c>
      <c r="J16" s="16">
        <v>1</v>
      </c>
      <c r="K16" s="8">
        <v>0.8</v>
      </c>
      <c r="L16" s="17">
        <f t="shared" si="2"/>
        <v>6.0056818181818183</v>
      </c>
      <c r="M16" s="8">
        <v>1</v>
      </c>
      <c r="N16" s="21" t="s">
        <v>118</v>
      </c>
      <c r="O16" s="8">
        <v>4</v>
      </c>
      <c r="P16" s="8" t="s">
        <v>111</v>
      </c>
      <c r="Q16" s="7" t="s">
        <v>100</v>
      </c>
      <c r="S16" s="1">
        <f t="shared" si="3"/>
        <v>42.329545454545453</v>
      </c>
      <c r="T16" s="1">
        <f t="shared" si="4"/>
        <v>19.585227272727273</v>
      </c>
      <c r="U16" s="1">
        <f t="shared" si="5"/>
        <v>24.170454545454547</v>
      </c>
    </row>
    <row r="17" spans="1:21" x14ac:dyDescent="0.25">
      <c r="A17" s="8">
        <v>13</v>
      </c>
      <c r="B17" s="18" t="s">
        <v>89</v>
      </c>
      <c r="C17" s="8"/>
      <c r="D17" s="8"/>
      <c r="E17" s="8"/>
      <c r="F17" s="8"/>
      <c r="G17" s="8">
        <v>1</v>
      </c>
      <c r="H17" s="8">
        <f t="shared" si="0"/>
        <v>2714</v>
      </c>
      <c r="I17" s="17">
        <f t="shared" si="1"/>
        <v>3392.5</v>
      </c>
      <c r="J17" s="16">
        <v>1</v>
      </c>
      <c r="K17" s="8">
        <v>0.8</v>
      </c>
      <c r="L17" s="17">
        <f t="shared" si="2"/>
        <v>15.420454545454545</v>
      </c>
      <c r="M17" s="8">
        <v>1</v>
      </c>
      <c r="N17" s="8" t="s">
        <v>121</v>
      </c>
      <c r="O17" s="8">
        <v>4</v>
      </c>
      <c r="P17" s="8" t="s">
        <v>111</v>
      </c>
      <c r="Q17" s="7" t="s">
        <v>101</v>
      </c>
      <c r="S17" s="1">
        <f t="shared" si="3"/>
        <v>57.75</v>
      </c>
      <c r="T17" s="1">
        <f t="shared" si="4"/>
        <v>19.585227272727273</v>
      </c>
      <c r="U17" s="1">
        <f t="shared" si="5"/>
        <v>24.170454545454547</v>
      </c>
    </row>
    <row r="18" spans="1:21" x14ac:dyDescent="0.25">
      <c r="A18" s="8">
        <v>14</v>
      </c>
      <c r="B18" s="18" t="s">
        <v>89</v>
      </c>
      <c r="C18" s="8"/>
      <c r="D18" s="8"/>
      <c r="E18" s="8"/>
      <c r="F18" s="8"/>
      <c r="G18" s="8">
        <v>1</v>
      </c>
      <c r="H18" s="8">
        <f t="shared" si="0"/>
        <v>2714</v>
      </c>
      <c r="I18" s="17">
        <f t="shared" si="1"/>
        <v>3392.5</v>
      </c>
      <c r="J18" s="16">
        <v>1</v>
      </c>
      <c r="K18" s="8">
        <v>0.8</v>
      </c>
      <c r="L18" s="17">
        <f t="shared" si="2"/>
        <v>15.420454545454545</v>
      </c>
      <c r="M18" s="8">
        <v>1</v>
      </c>
      <c r="N18" s="8" t="s">
        <v>121</v>
      </c>
      <c r="O18" s="8">
        <v>4</v>
      </c>
      <c r="P18" s="8" t="s">
        <v>112</v>
      </c>
      <c r="Q18" s="7" t="s">
        <v>104</v>
      </c>
      <c r="S18" s="1">
        <f t="shared" si="3"/>
        <v>57.75</v>
      </c>
      <c r="T18" s="1">
        <f t="shared" si="4"/>
        <v>35.00568181818182</v>
      </c>
      <c r="U18" s="1">
        <f t="shared" si="5"/>
        <v>24.170454545454547</v>
      </c>
    </row>
    <row r="19" spans="1:21" x14ac:dyDescent="0.25">
      <c r="A19" s="8">
        <v>15</v>
      </c>
      <c r="B19" s="18" t="s">
        <v>89</v>
      </c>
      <c r="C19" s="8"/>
      <c r="D19" s="8"/>
      <c r="E19" s="8"/>
      <c r="F19" s="8">
        <v>1</v>
      </c>
      <c r="G19" s="8"/>
      <c r="H19" s="8">
        <f t="shared" si="0"/>
        <v>2170</v>
      </c>
      <c r="I19" s="17">
        <f t="shared" si="1"/>
        <v>2712.5</v>
      </c>
      <c r="J19" s="16">
        <v>1</v>
      </c>
      <c r="K19" s="8">
        <v>0.8</v>
      </c>
      <c r="L19" s="17">
        <f t="shared" si="2"/>
        <v>12.329545454545455</v>
      </c>
      <c r="M19" s="8">
        <v>1</v>
      </c>
      <c r="N19" s="8" t="s">
        <v>119</v>
      </c>
      <c r="O19" s="8">
        <v>4</v>
      </c>
      <c r="P19" s="8" t="s">
        <v>112</v>
      </c>
      <c r="Q19" s="7" t="s">
        <v>105</v>
      </c>
      <c r="S19" s="1">
        <f t="shared" si="3"/>
        <v>57.75</v>
      </c>
      <c r="T19" s="1">
        <f t="shared" si="4"/>
        <v>47.335227272727273</v>
      </c>
      <c r="U19" s="1">
        <f t="shared" si="5"/>
        <v>24.170454545454547</v>
      </c>
    </row>
    <row r="20" spans="1:21" x14ac:dyDescent="0.25">
      <c r="A20" s="8">
        <v>16</v>
      </c>
      <c r="B20" s="18" t="s">
        <v>89</v>
      </c>
      <c r="C20" s="8"/>
      <c r="D20" s="8"/>
      <c r="E20" s="8"/>
      <c r="F20" s="8">
        <v>1</v>
      </c>
      <c r="G20" s="8"/>
      <c r="H20" s="8">
        <f t="shared" si="0"/>
        <v>2170</v>
      </c>
      <c r="I20" s="17">
        <f t="shared" si="1"/>
        <v>2712.5</v>
      </c>
      <c r="J20" s="16">
        <v>1</v>
      </c>
      <c r="K20" s="8">
        <v>0.8</v>
      </c>
      <c r="L20" s="17">
        <f t="shared" si="2"/>
        <v>12.329545454545455</v>
      </c>
      <c r="M20" s="8">
        <v>1</v>
      </c>
      <c r="N20" s="8" t="s">
        <v>119</v>
      </c>
      <c r="O20" s="8">
        <v>4</v>
      </c>
      <c r="P20" s="8" t="s">
        <v>113</v>
      </c>
      <c r="Q20" s="7" t="s">
        <v>106</v>
      </c>
      <c r="S20" s="1">
        <f t="shared" si="3"/>
        <v>57.75</v>
      </c>
      <c r="T20" s="1">
        <f t="shared" si="4"/>
        <v>47.335227272727273</v>
      </c>
      <c r="U20" s="1">
        <f t="shared" si="5"/>
        <v>36.5</v>
      </c>
    </row>
    <row r="21" spans="1:21" x14ac:dyDescent="0.25">
      <c r="A21" s="8">
        <v>17</v>
      </c>
      <c r="B21" s="18" t="s">
        <v>89</v>
      </c>
      <c r="C21" s="8"/>
      <c r="D21" s="8"/>
      <c r="E21" s="8"/>
      <c r="F21" s="8">
        <v>1</v>
      </c>
      <c r="G21" s="8"/>
      <c r="H21" s="8">
        <f t="shared" si="0"/>
        <v>2170</v>
      </c>
      <c r="I21" s="17">
        <f t="shared" si="1"/>
        <v>2712.5</v>
      </c>
      <c r="J21" s="16">
        <v>1</v>
      </c>
      <c r="K21" s="8">
        <v>0.8</v>
      </c>
      <c r="L21" s="17">
        <f t="shared" si="2"/>
        <v>12.329545454545455</v>
      </c>
      <c r="M21" s="8">
        <v>1</v>
      </c>
      <c r="N21" s="8" t="s">
        <v>119</v>
      </c>
      <c r="O21" s="8">
        <v>4</v>
      </c>
      <c r="P21" s="8" t="s">
        <v>111</v>
      </c>
      <c r="Q21" s="7" t="s">
        <v>106</v>
      </c>
      <c r="S21" s="1">
        <f t="shared" si="3"/>
        <v>70.079545454545453</v>
      </c>
      <c r="T21" s="1">
        <f t="shared" si="4"/>
        <v>47.335227272727273</v>
      </c>
      <c r="U21" s="1">
        <f t="shared" si="5"/>
        <v>36.5</v>
      </c>
    </row>
    <row r="22" spans="1:21" x14ac:dyDescent="0.25">
      <c r="A22" s="8">
        <v>18</v>
      </c>
      <c r="B22" s="18" t="s">
        <v>89</v>
      </c>
      <c r="C22" s="8"/>
      <c r="D22" s="8"/>
      <c r="E22" s="8"/>
      <c r="F22" s="8"/>
      <c r="G22" s="8">
        <v>1</v>
      </c>
      <c r="H22" s="8">
        <f t="shared" si="0"/>
        <v>2714</v>
      </c>
      <c r="I22" s="17">
        <f t="shared" si="1"/>
        <v>3392.5</v>
      </c>
      <c r="J22" s="16">
        <v>1</v>
      </c>
      <c r="K22" s="8">
        <v>0.8</v>
      </c>
      <c r="L22" s="17">
        <f t="shared" si="2"/>
        <v>15.420454545454545</v>
      </c>
      <c r="M22" s="8">
        <v>1</v>
      </c>
      <c r="N22" s="8" t="s">
        <v>121</v>
      </c>
      <c r="O22" s="8">
        <v>4</v>
      </c>
      <c r="P22" s="8" t="s">
        <v>113</v>
      </c>
      <c r="Q22" s="7" t="s">
        <v>107</v>
      </c>
      <c r="S22" s="1">
        <f t="shared" si="3"/>
        <v>70.079545454545453</v>
      </c>
      <c r="T22" s="1">
        <f t="shared" si="4"/>
        <v>47.335227272727273</v>
      </c>
      <c r="U22" s="1">
        <f t="shared" si="5"/>
        <v>51.920454545454547</v>
      </c>
    </row>
    <row r="23" spans="1:21" x14ac:dyDescent="0.25">
      <c r="A23" s="8">
        <v>19</v>
      </c>
      <c r="B23" s="18" t="s">
        <v>89</v>
      </c>
      <c r="C23" s="8"/>
      <c r="D23" s="8"/>
      <c r="E23" s="8"/>
      <c r="F23" s="8"/>
      <c r="G23" s="8">
        <v>1</v>
      </c>
      <c r="H23" s="8">
        <f t="shared" si="0"/>
        <v>2714</v>
      </c>
      <c r="I23" s="17">
        <f t="shared" si="1"/>
        <v>3392.5</v>
      </c>
      <c r="J23" s="16">
        <v>1</v>
      </c>
      <c r="K23" s="8">
        <v>0.8</v>
      </c>
      <c r="L23" s="17">
        <f t="shared" si="2"/>
        <v>15.420454545454545</v>
      </c>
      <c r="M23" s="8">
        <v>1</v>
      </c>
      <c r="N23" s="8" t="s">
        <v>121</v>
      </c>
      <c r="O23" s="8">
        <v>4</v>
      </c>
      <c r="P23" s="8" t="s">
        <v>112</v>
      </c>
      <c r="Q23" s="7" t="s">
        <v>107</v>
      </c>
      <c r="S23" s="1">
        <f t="shared" si="3"/>
        <v>70.079545454545453</v>
      </c>
      <c r="T23" s="1">
        <f t="shared" si="4"/>
        <v>62.75568181818182</v>
      </c>
      <c r="U23" s="1">
        <f t="shared" si="5"/>
        <v>51.920454545454547</v>
      </c>
    </row>
    <row r="24" spans="1:21" x14ac:dyDescent="0.25">
      <c r="A24" s="8">
        <v>20</v>
      </c>
      <c r="B24" s="18" t="s">
        <v>89</v>
      </c>
      <c r="C24" s="8"/>
      <c r="D24" s="8"/>
      <c r="E24" s="8">
        <v>1</v>
      </c>
      <c r="F24" s="8"/>
      <c r="G24" s="8"/>
      <c r="H24" s="8">
        <f t="shared" si="0"/>
        <v>1583</v>
      </c>
      <c r="I24" s="17">
        <f t="shared" si="1"/>
        <v>1978.75</v>
      </c>
      <c r="J24" s="16">
        <v>1</v>
      </c>
      <c r="K24" s="8">
        <v>0.8</v>
      </c>
      <c r="L24" s="17">
        <f t="shared" si="2"/>
        <v>8.9943181818181817</v>
      </c>
      <c r="M24" s="8">
        <v>1</v>
      </c>
      <c r="N24" s="8" t="s">
        <v>119</v>
      </c>
      <c r="O24" s="8">
        <v>4</v>
      </c>
      <c r="P24" s="8" t="s">
        <v>112</v>
      </c>
      <c r="Q24" s="7" t="s">
        <v>108</v>
      </c>
      <c r="S24" s="1">
        <f t="shared" si="3"/>
        <v>70.079545454545453</v>
      </c>
      <c r="T24" s="1">
        <f t="shared" si="4"/>
        <v>71.75</v>
      </c>
      <c r="U24" s="1">
        <f t="shared" si="5"/>
        <v>51.920454545454547</v>
      </c>
    </row>
    <row r="25" spans="1:21" x14ac:dyDescent="0.25">
      <c r="A25" s="8">
        <v>21</v>
      </c>
      <c r="B25" s="18" t="s">
        <v>89</v>
      </c>
      <c r="C25" s="8"/>
      <c r="D25" s="8"/>
      <c r="E25" s="8"/>
      <c r="F25" s="8"/>
      <c r="G25" s="8">
        <v>1</v>
      </c>
      <c r="H25" s="8">
        <f t="shared" si="0"/>
        <v>2714</v>
      </c>
      <c r="I25" s="17">
        <f t="shared" si="1"/>
        <v>3392.5</v>
      </c>
      <c r="J25" s="16">
        <v>1</v>
      </c>
      <c r="K25" s="8">
        <v>0.8</v>
      </c>
      <c r="L25" s="17">
        <f t="shared" si="2"/>
        <v>15.420454545454545</v>
      </c>
      <c r="M25" s="8">
        <v>1</v>
      </c>
      <c r="N25" s="8" t="s">
        <v>121</v>
      </c>
      <c r="O25" s="8">
        <v>4</v>
      </c>
      <c r="P25" s="8" t="s">
        <v>113</v>
      </c>
      <c r="Q25" s="7" t="s">
        <v>109</v>
      </c>
      <c r="R25" s="1" t="s">
        <v>85</v>
      </c>
      <c r="S25" s="20">
        <f t="shared" si="3"/>
        <v>70.079545454545453</v>
      </c>
      <c r="T25" s="20">
        <f t="shared" si="4"/>
        <v>71.75</v>
      </c>
      <c r="U25" s="20">
        <f t="shared" si="5"/>
        <v>67.340909090909093</v>
      </c>
    </row>
    <row r="26" spans="1:21" x14ac:dyDescent="0.25">
      <c r="A26" s="8" t="s">
        <v>85</v>
      </c>
      <c r="B26" s="18"/>
      <c r="C26" s="8">
        <f>SUM(C5:C25)</f>
        <v>3</v>
      </c>
      <c r="D26" s="8">
        <f t="shared" ref="D26:I26" si="6">SUM(D5:D25)</f>
        <v>4</v>
      </c>
      <c r="E26" s="8">
        <f t="shared" si="6"/>
        <v>5</v>
      </c>
      <c r="F26" s="8">
        <f t="shared" si="6"/>
        <v>4</v>
      </c>
      <c r="G26" s="8">
        <f t="shared" si="6"/>
        <v>5</v>
      </c>
      <c r="H26" s="8">
        <f t="shared" si="6"/>
        <v>36814</v>
      </c>
      <c r="I26" s="8">
        <f t="shared" si="6"/>
        <v>46017.5</v>
      </c>
      <c r="J26" s="16"/>
      <c r="K26" s="8"/>
      <c r="L26" s="17"/>
      <c r="M26" s="8"/>
      <c r="N26" s="8"/>
      <c r="O26" s="8"/>
      <c r="P26" s="8"/>
      <c r="Q26" s="19"/>
      <c r="R26" s="1" t="s">
        <v>114</v>
      </c>
      <c r="S26" s="20">
        <f>ROUND(S25,1)</f>
        <v>70.099999999999994</v>
      </c>
      <c r="T26" s="20">
        <f t="shared" ref="T26:U26" si="7">ROUND(T25,1)</f>
        <v>71.8</v>
      </c>
      <c r="U26" s="20">
        <f t="shared" si="7"/>
        <v>67.3</v>
      </c>
    </row>
    <row r="27" spans="1:21" x14ac:dyDescent="0.25">
      <c r="A27" s="8" t="s">
        <v>86</v>
      </c>
      <c r="B27" s="18" t="s">
        <v>110</v>
      </c>
      <c r="C27" s="8"/>
      <c r="D27" s="8"/>
      <c r="E27" s="8"/>
      <c r="F27" s="8"/>
      <c r="G27" s="8"/>
      <c r="H27" s="8">
        <f>H26</f>
        <v>36814</v>
      </c>
      <c r="I27" s="8">
        <f>I26</f>
        <v>46017.5</v>
      </c>
      <c r="J27" s="16">
        <f>I27/I26</f>
        <v>1</v>
      </c>
      <c r="K27" s="8">
        <f>H27/I27</f>
        <v>0.8</v>
      </c>
      <c r="L27" s="17">
        <v>71.8</v>
      </c>
      <c r="M27" s="8">
        <v>3</v>
      </c>
      <c r="N27" s="8" t="s">
        <v>120</v>
      </c>
      <c r="O27" s="8">
        <v>25</v>
      </c>
      <c r="P27" s="8" t="s">
        <v>117</v>
      </c>
      <c r="Q27" s="19" t="s">
        <v>37</v>
      </c>
    </row>
    <row r="28" spans="1:21" ht="30" customHeight="1" x14ac:dyDescent="0.25">
      <c r="A28" s="37" t="str">
        <f>"POTÊNCIA DEMANDADA: "&amp;J27*100&amp;"% "&amp;"("&amp;H27&amp;" W)"&amp;" ("&amp;I27&amp;" VA)"</f>
        <v>POTÊNCIA DEMANDADA: 100% (36814 W) (46017,5 VA)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</row>
    <row r="29" spans="1:21" x14ac:dyDescent="0.25">
      <c r="A29" s="38" t="str">
        <f>"CORRENTE NAS FASES: A="&amp;S26&amp;"A B="&amp;T26&amp;"A C="&amp;U26&amp;"A"</f>
        <v>CORRENTE NAS FASES: A=70,1A B=71,8A C=67,3A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</sheetData>
  <mergeCells count="17">
    <mergeCell ref="A1:Q1"/>
    <mergeCell ref="A2:Q2"/>
    <mergeCell ref="A3:A4"/>
    <mergeCell ref="B3:B4"/>
    <mergeCell ref="C3:G3"/>
    <mergeCell ref="H3:H4"/>
    <mergeCell ref="I3:I4"/>
    <mergeCell ref="J3:J4"/>
    <mergeCell ref="Q3:Q4"/>
    <mergeCell ref="A28:Q28"/>
    <mergeCell ref="A29:Q29"/>
    <mergeCell ref="K3:K4"/>
    <mergeCell ref="L3:L4"/>
    <mergeCell ref="M3:M4"/>
    <mergeCell ref="N3:N4"/>
    <mergeCell ref="O3:O4"/>
    <mergeCell ref="P3:P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3E88C-B82E-4552-9DAC-9F0BF81828CC}">
  <dimension ref="A1:I47"/>
  <sheetViews>
    <sheetView topLeftCell="A28" workbookViewId="0">
      <selection activeCell="C38" sqref="C38"/>
    </sheetView>
  </sheetViews>
  <sheetFormatPr defaultRowHeight="15" x14ac:dyDescent="0.25"/>
  <cols>
    <col min="1" max="1" width="30.5703125" bestFit="1" customWidth="1"/>
    <col min="2" max="2" width="12.85546875" bestFit="1" customWidth="1"/>
  </cols>
  <sheetData>
    <row r="1" spans="1:2" x14ac:dyDescent="0.25">
      <c r="A1" t="s">
        <v>154</v>
      </c>
      <c r="B1" t="s">
        <v>129</v>
      </c>
    </row>
    <row r="2" spans="1:2" x14ac:dyDescent="0.25">
      <c r="A2" t="s">
        <v>135</v>
      </c>
      <c r="B2">
        <v>9</v>
      </c>
    </row>
    <row r="3" spans="1:2" x14ac:dyDescent="0.25">
      <c r="A3" t="s">
        <v>136</v>
      </c>
      <c r="B3">
        <v>5</v>
      </c>
    </row>
    <row r="4" spans="1:2" x14ac:dyDescent="0.25">
      <c r="A4" t="s">
        <v>137</v>
      </c>
      <c r="B4">
        <v>85</v>
      </c>
    </row>
    <row r="5" spans="1:2" x14ac:dyDescent="0.25">
      <c r="A5" t="s">
        <v>138</v>
      </c>
      <c r="B5">
        <v>35</v>
      </c>
    </row>
    <row r="6" spans="1:2" x14ac:dyDescent="0.25">
      <c r="A6" t="s">
        <v>139</v>
      </c>
      <c r="B6">
        <v>37</v>
      </c>
    </row>
    <row r="7" spans="1:2" x14ac:dyDescent="0.25">
      <c r="A7" t="s">
        <v>140</v>
      </c>
      <c r="B7">
        <v>1</v>
      </c>
    </row>
    <row r="8" spans="1:2" x14ac:dyDescent="0.25">
      <c r="A8" t="s">
        <v>141</v>
      </c>
      <c r="B8">
        <v>3</v>
      </c>
    </row>
    <row r="9" spans="1:2" x14ac:dyDescent="0.25">
      <c r="A9" t="s">
        <v>142</v>
      </c>
      <c r="B9">
        <v>152</v>
      </c>
    </row>
    <row r="10" spans="1:2" x14ac:dyDescent="0.25">
      <c r="A10" t="s">
        <v>143</v>
      </c>
      <c r="B10">
        <v>1</v>
      </c>
    </row>
    <row r="11" spans="1:2" x14ac:dyDescent="0.25">
      <c r="A11" t="s">
        <v>144</v>
      </c>
      <c r="B11">
        <v>21</v>
      </c>
    </row>
    <row r="12" spans="1:2" x14ac:dyDescent="0.25">
      <c r="A12" t="s">
        <v>57</v>
      </c>
      <c r="B12">
        <v>1</v>
      </c>
    </row>
    <row r="13" spans="1:2" x14ac:dyDescent="0.25">
      <c r="A13" t="s">
        <v>145</v>
      </c>
      <c r="B13">
        <v>1</v>
      </c>
    </row>
    <row r="14" spans="1:2" x14ac:dyDescent="0.25">
      <c r="A14" t="s">
        <v>146</v>
      </c>
      <c r="B14">
        <v>8</v>
      </c>
    </row>
    <row r="15" spans="1:2" x14ac:dyDescent="0.25">
      <c r="A15" t="s">
        <v>167</v>
      </c>
      <c r="B15">
        <f>B4</f>
        <v>85</v>
      </c>
    </row>
    <row r="16" spans="1:2" x14ac:dyDescent="0.25">
      <c r="A16" t="s">
        <v>168</v>
      </c>
      <c r="B16">
        <f>B2+B5+B10+B19+B6</f>
        <v>84</v>
      </c>
    </row>
    <row r="17" spans="1:2" x14ac:dyDescent="0.25">
      <c r="A17" t="s">
        <v>169</v>
      </c>
      <c r="B17">
        <f>B11</f>
        <v>21</v>
      </c>
    </row>
    <row r="18" spans="1:2" x14ac:dyDescent="0.25">
      <c r="A18" t="s">
        <v>170</v>
      </c>
      <c r="B18">
        <f>B3+B9</f>
        <v>157</v>
      </c>
    </row>
    <row r="19" spans="1:2" x14ac:dyDescent="0.25">
      <c r="A19" t="s">
        <v>147</v>
      </c>
      <c r="B19">
        <v>2</v>
      </c>
    </row>
    <row r="20" spans="1:2" x14ac:dyDescent="0.25">
      <c r="A20" t="s">
        <v>148</v>
      </c>
      <c r="B20">
        <v>1</v>
      </c>
    </row>
    <row r="21" spans="1:2" x14ac:dyDescent="0.25">
      <c r="A21" t="s">
        <v>149</v>
      </c>
      <c r="B21">
        <v>5</v>
      </c>
    </row>
    <row r="22" spans="1:2" x14ac:dyDescent="0.25">
      <c r="A22" t="s">
        <v>150</v>
      </c>
      <c r="B22">
        <v>11</v>
      </c>
    </row>
    <row r="23" spans="1:2" x14ac:dyDescent="0.25">
      <c r="A23" t="s">
        <v>151</v>
      </c>
      <c r="B23">
        <v>18</v>
      </c>
    </row>
    <row r="24" spans="1:2" x14ac:dyDescent="0.25">
      <c r="A24" t="s">
        <v>152</v>
      </c>
      <c r="B24">
        <v>4</v>
      </c>
    </row>
    <row r="25" spans="1:2" x14ac:dyDescent="0.25">
      <c r="A25" t="s">
        <v>153</v>
      </c>
      <c r="B25">
        <v>2</v>
      </c>
    </row>
    <row r="26" spans="1:2" x14ac:dyDescent="0.25">
      <c r="A26" t="s">
        <v>171</v>
      </c>
      <c r="B26">
        <v>8</v>
      </c>
    </row>
    <row r="27" spans="1:2" x14ac:dyDescent="0.25">
      <c r="A27" t="s">
        <v>160</v>
      </c>
      <c r="B27">
        <f>12.76+1.5</f>
        <v>14.26</v>
      </c>
    </row>
    <row r="28" spans="1:2" x14ac:dyDescent="0.25">
      <c r="A28" t="s">
        <v>161</v>
      </c>
      <c r="B28">
        <f>20.41+1.5+1.5</f>
        <v>23.41</v>
      </c>
    </row>
    <row r="29" spans="1:2" x14ac:dyDescent="0.25">
      <c r="A29" t="s">
        <v>155</v>
      </c>
      <c r="B29">
        <f>B27/3</f>
        <v>4.753333333333333</v>
      </c>
    </row>
    <row r="30" spans="1:2" x14ac:dyDescent="0.25">
      <c r="A30" t="s">
        <v>156</v>
      </c>
      <c r="B30">
        <f>B28/3</f>
        <v>7.8033333333333337</v>
      </c>
    </row>
    <row r="31" spans="1:2" x14ac:dyDescent="0.25">
      <c r="A31" t="s">
        <v>157</v>
      </c>
      <c r="B31">
        <v>2</v>
      </c>
    </row>
    <row r="32" spans="1:2" x14ac:dyDescent="0.25">
      <c r="A32" t="s">
        <v>158</v>
      </c>
      <c r="B32">
        <v>2</v>
      </c>
    </row>
    <row r="33" spans="1:9" x14ac:dyDescent="0.25">
      <c r="A33" t="s">
        <v>163</v>
      </c>
      <c r="B33">
        <f>653.92+(B3+B9)*0.6</f>
        <v>748.12</v>
      </c>
    </row>
    <row r="34" spans="1:9" x14ac:dyDescent="0.25">
      <c r="A34" t="s">
        <v>159</v>
      </c>
      <c r="B34">
        <f>B15*2.7+B16*1.5+B17*1+B6*3</f>
        <v>487.5</v>
      </c>
    </row>
    <row r="35" spans="1:9" x14ac:dyDescent="0.25">
      <c r="A35" t="s">
        <v>162</v>
      </c>
      <c r="B35">
        <f>26.55+33.45+1.5+9.5+9.7</f>
        <v>80.7</v>
      </c>
    </row>
    <row r="36" spans="1:9" x14ac:dyDescent="0.25">
      <c r="A36" t="s">
        <v>165</v>
      </c>
      <c r="B36">
        <f>(4-1.5)*4</f>
        <v>10</v>
      </c>
    </row>
    <row r="37" spans="1:9" x14ac:dyDescent="0.25">
      <c r="A37" t="s">
        <v>164</v>
      </c>
      <c r="B37">
        <f>7.9+8.7+7.9</f>
        <v>24.5</v>
      </c>
    </row>
    <row r="38" spans="1:9" x14ac:dyDescent="0.25">
      <c r="A38" t="s">
        <v>166</v>
      </c>
      <c r="B38">
        <v>6</v>
      </c>
    </row>
    <row r="39" spans="1:9" x14ac:dyDescent="0.25">
      <c r="A39" t="s">
        <v>174</v>
      </c>
      <c r="B39">
        <f>335*D39+B2*1.5+B4*2.7+B5*1.5+B10*1.5+B11*1+B19*1.5</f>
        <v>1027.8499999999999</v>
      </c>
      <c r="D39">
        <v>2.11</v>
      </c>
      <c r="F39" t="s">
        <v>181</v>
      </c>
      <c r="G39" t="s">
        <v>182</v>
      </c>
      <c r="H39" t="s">
        <v>183</v>
      </c>
      <c r="I39" t="s">
        <v>184</v>
      </c>
    </row>
    <row r="40" spans="1:9" x14ac:dyDescent="0.25">
      <c r="A40" t="s">
        <v>175</v>
      </c>
      <c r="B40">
        <f>421*D39+B2*1.5+B4*2.7+B11*1</f>
        <v>1152.31</v>
      </c>
      <c r="F40">
        <f>SUM(B39:B42)*1.2</f>
        <v>4571.351999999999</v>
      </c>
      <c r="G40">
        <f>SUM(B43:B45)*1.2</f>
        <v>591.94799999999998</v>
      </c>
      <c r="H40">
        <f>B46*1.2</f>
        <v>46.223999999999997</v>
      </c>
      <c r="I40">
        <f>SUM(B47*1.2)</f>
        <v>51.335999999999999</v>
      </c>
    </row>
    <row r="41" spans="1:9" x14ac:dyDescent="0.25">
      <c r="A41" t="s">
        <v>176</v>
      </c>
      <c r="B41">
        <f>421*D39+B2*1.5+B4*2.7</f>
        <v>1131.31</v>
      </c>
      <c r="E41" s="24" t="s">
        <v>185</v>
      </c>
      <c r="F41">
        <f>ROUND(F40,2)</f>
        <v>4571.3500000000004</v>
      </c>
      <c r="G41">
        <f t="shared" ref="G41:I41" si="0">ROUND(G40,2)</f>
        <v>591.95000000000005</v>
      </c>
      <c r="H41">
        <f t="shared" si="0"/>
        <v>46.22</v>
      </c>
      <c r="I41">
        <f t="shared" si="0"/>
        <v>51.34</v>
      </c>
    </row>
    <row r="42" spans="1:9" x14ac:dyDescent="0.25">
      <c r="A42" t="s">
        <v>177</v>
      </c>
      <c r="B42">
        <f>209*D39+(B5+B10+B19)*1.5</f>
        <v>497.98999999999995</v>
      </c>
    </row>
    <row r="43" spans="1:9" x14ac:dyDescent="0.25">
      <c r="A43" t="s">
        <v>180</v>
      </c>
      <c r="B43">
        <f>63*D39+21*1.5</f>
        <v>164.42999999999998</v>
      </c>
    </row>
    <row r="44" spans="1:9" x14ac:dyDescent="0.25">
      <c r="A44" t="s">
        <v>179</v>
      </c>
      <c r="B44">
        <f>63*D39+21*1.5</f>
        <v>164.42999999999998</v>
      </c>
    </row>
    <row r="45" spans="1:9" x14ac:dyDescent="0.25">
      <c r="A45" t="s">
        <v>178</v>
      </c>
      <c r="B45">
        <f>63*D39+21*1.5</f>
        <v>164.42999999999998</v>
      </c>
    </row>
    <row r="46" spans="1:9" x14ac:dyDescent="0.25">
      <c r="A46" t="s">
        <v>172</v>
      </c>
      <c r="B46">
        <f>B27*2+5*2</f>
        <v>38.519999999999996</v>
      </c>
    </row>
    <row r="47" spans="1:9" x14ac:dyDescent="0.25">
      <c r="A47" t="s">
        <v>173</v>
      </c>
      <c r="B47">
        <f>B27*3</f>
        <v>42.78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6A8E-6AB3-4220-B3FE-7EDBCD1CDF73}">
  <dimension ref="A1:F2"/>
  <sheetViews>
    <sheetView workbookViewId="0">
      <selection activeCell="B3" sqref="B3"/>
    </sheetView>
  </sheetViews>
  <sheetFormatPr defaultRowHeight="15" x14ac:dyDescent="0.25"/>
  <cols>
    <col min="2" max="2" width="12.85546875" bestFit="1" customWidth="1"/>
    <col min="3" max="3" width="11.140625" bestFit="1" customWidth="1"/>
    <col min="5" max="5" width="11" bestFit="1" customWidth="1"/>
  </cols>
  <sheetData>
    <row r="1" spans="1:6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</row>
    <row r="2" spans="1:6" x14ac:dyDescent="0.25">
      <c r="A2" s="24">
        <v>2.5</v>
      </c>
      <c r="B2">
        <v>13</v>
      </c>
      <c r="C2">
        <f>IF(A2=2.5,10.8,IF(A2=4,13.9,"#"))</f>
        <v>10.8</v>
      </c>
      <c r="D2" s="25">
        <v>27</v>
      </c>
      <c r="E2" s="26">
        <f>PI()*(D2/2)^2</f>
        <v>572.55526111673976</v>
      </c>
      <c r="F2">
        <f>(B2*C2)/E2*100</f>
        <v>24.521650491195729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LEVANTAMENTO</vt:lpstr>
      <vt:lpstr>QGBT</vt:lpstr>
      <vt:lpstr>QD SPLITS</vt:lpstr>
      <vt:lpstr>LISTA DE MATERIAIS</vt:lpstr>
      <vt:lpstr>Planilha4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Gabriel</cp:lastModifiedBy>
  <dcterms:created xsi:type="dcterms:W3CDTF">2015-06-05T18:19:34Z</dcterms:created>
  <dcterms:modified xsi:type="dcterms:W3CDTF">2021-03-08T01:00:56Z</dcterms:modified>
</cp:coreProperties>
</file>