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3256" windowHeight="9720" tabRatio="819" activeTab="1"/>
  </bookViews>
  <sheets>
    <sheet name="DADOS" sheetId="1" r:id="rId1"/>
    <sheet name="RESUMO" sheetId="2" r:id="rId2"/>
    <sheet name="ORCAMENTO" sheetId="3" r:id="rId3"/>
    <sheet name="MEMORIA" sheetId="4" r:id="rId4"/>
    <sheet name="COMPOSICAO" sheetId="5" r:id="rId5"/>
    <sheet name="COMPOSICAO_AUX_1" sheetId="6" state="hidden" r:id="rId6"/>
    <sheet name="COMPOSICAO_AUX_2" sheetId="7" state="hidden" r:id="rId7"/>
    <sheet name="COMPOSICAO_AUX_3" sheetId="8" state="hidden" r:id="rId8"/>
    <sheet name="COMPOSICAO_AUX_4" sheetId="9" state="hidden" r:id="rId9"/>
    <sheet name="COMPOSICAO_AUX_5" sheetId="10" state="hidden" r:id="rId10"/>
    <sheet name="BDI" sheetId="11" r:id="rId11"/>
    <sheet name="LS" sheetId="12" r:id="rId12"/>
    <sheet name="S" sheetId="13" r:id="rId13"/>
    <sheet name="I" sheetId="14" r:id="rId14"/>
  </sheets>
  <definedNames>
    <definedName name="_xlnm.Print_Area" localSheetId="4">COMPOSICAO!$A$1:$K$102</definedName>
    <definedName name="_xlnm.Print_Area" localSheetId="0">DADOS!$A$1:$K$15</definedName>
    <definedName name="BDI">DADOS!$K$5</definedName>
    <definedName name="CIDADE">DADOS!$A$1</definedName>
    <definedName name="FONTE">DADOS!$B$5</definedName>
    <definedName name="LEI">DADOS!$H$5</definedName>
    <definedName name="OBRA">DADOS!$A$2</definedName>
    <definedName name="ONERA">DADOS!$F$5</definedName>
    <definedName name="_xlnm.Print_Titles" localSheetId="4">COMPOSICAO!$1:$5</definedName>
  </definedNames>
  <calcPr calcId="152511"/>
</workbook>
</file>

<file path=xl/calcChain.xml><?xml version="1.0" encoding="utf-8"?>
<calcChain xmlns="http://schemas.openxmlformats.org/spreadsheetml/2006/main">
  <c r="D64" i="14" l="1"/>
  <c r="D63" i="14"/>
  <c r="D62" i="14"/>
  <c r="I66" i="5" s="1"/>
  <c r="D61" i="14"/>
  <c r="D60" i="14"/>
  <c r="D59" i="14"/>
  <c r="D58" i="14"/>
  <c r="I96" i="5" s="1"/>
  <c r="D57" i="14"/>
  <c r="I58" i="6" s="1"/>
  <c r="J58" i="6" s="1"/>
  <c r="D56" i="14"/>
  <c r="D55" i="14"/>
  <c r="I32" i="6" s="1"/>
  <c r="D54" i="14"/>
  <c r="I117" i="7" s="1"/>
  <c r="J117" i="7" s="1"/>
  <c r="D53" i="14"/>
  <c r="I73" i="6" s="1"/>
  <c r="J73" i="6" s="1"/>
  <c r="D52" i="14"/>
  <c r="D51" i="14"/>
  <c r="I127" i="8" s="1"/>
  <c r="D50" i="14"/>
  <c r="I215" i="8" s="1"/>
  <c r="J215" i="8" s="1"/>
  <c r="J216" i="8" s="1"/>
  <c r="I171" i="7" s="1"/>
  <c r="J171" i="7" s="1"/>
  <c r="D49" i="14"/>
  <c r="I179" i="8" s="1"/>
  <c r="D48" i="14"/>
  <c r="D47" i="14"/>
  <c r="I95" i="6" s="1"/>
  <c r="D46" i="14"/>
  <c r="D45" i="14"/>
  <c r="I164" i="8" s="1"/>
  <c r="J164" i="8" s="1"/>
  <c r="J165" i="8" s="1"/>
  <c r="I163" i="8" s="1"/>
  <c r="D44" i="14"/>
  <c r="D43" i="14"/>
  <c r="I69" i="7" s="1"/>
  <c r="J69" i="7" s="1"/>
  <c r="D42" i="14"/>
  <c r="D41" i="14"/>
  <c r="I184" i="8" s="1"/>
  <c r="J184" i="8" s="1"/>
  <c r="D40" i="14"/>
  <c r="D39" i="14"/>
  <c r="D38" i="14"/>
  <c r="D37" i="14"/>
  <c r="D36" i="14"/>
  <c r="D35" i="14"/>
  <c r="D34" i="14"/>
  <c r="I58" i="7" s="1"/>
  <c r="J58" i="7" s="1"/>
  <c r="D33" i="14"/>
  <c r="D32" i="14"/>
  <c r="D31" i="14"/>
  <c r="D30" i="14"/>
  <c r="I46" i="7" s="1"/>
  <c r="J46" i="7" s="1"/>
  <c r="D29" i="14"/>
  <c r="D28" i="14"/>
  <c r="D27" i="14"/>
  <c r="I47" i="5" s="1"/>
  <c r="D26" i="14"/>
  <c r="I56" i="5" s="1"/>
  <c r="D25" i="14"/>
  <c r="D24" i="14"/>
  <c r="D23" i="14"/>
  <c r="D22" i="14"/>
  <c r="I27" i="5" s="1"/>
  <c r="D21" i="14"/>
  <c r="D20" i="14"/>
  <c r="D19" i="14"/>
  <c r="D18" i="14"/>
  <c r="I56" i="6" s="1"/>
  <c r="J56" i="6" s="1"/>
  <c r="D17" i="14"/>
  <c r="I13" i="8" s="1"/>
  <c r="J13" i="8" s="1"/>
  <c r="J14" i="8" s="1"/>
  <c r="D16" i="14"/>
  <c r="D15" i="14"/>
  <c r="I210" i="8" s="1"/>
  <c r="J210" i="8" s="1"/>
  <c r="D14" i="14"/>
  <c r="I36" i="5" s="1"/>
  <c r="D13" i="14"/>
  <c r="I17" i="5" s="1"/>
  <c r="D12" i="14"/>
  <c r="D11" i="14"/>
  <c r="I62" i="9" s="1"/>
  <c r="D10" i="14"/>
  <c r="D9" i="14"/>
  <c r="D8" i="14"/>
  <c r="D7" i="14"/>
  <c r="D6" i="14"/>
  <c r="I33" i="6" s="1"/>
  <c r="J33" i="6" s="1"/>
  <c r="D5" i="14"/>
  <c r="I220" i="8" s="1"/>
  <c r="J220" i="8" s="1"/>
  <c r="J221" i="8" s="1"/>
  <c r="I183" i="7" s="1"/>
  <c r="J183" i="7" s="1"/>
  <c r="D4" i="14"/>
  <c r="I8" i="10" s="1"/>
  <c r="D3" i="14"/>
  <c r="I104" i="8" s="1"/>
  <c r="D2" i="14"/>
  <c r="I87" i="6" s="1"/>
  <c r="J87" i="6" s="1"/>
  <c r="D72" i="13"/>
  <c r="L42" i="8" s="1"/>
  <c r="D71" i="13"/>
  <c r="D70" i="13"/>
  <c r="D69" i="13"/>
  <c r="L27" i="8" s="1"/>
  <c r="D68" i="13"/>
  <c r="L75" i="7" s="1"/>
  <c r="D67" i="13"/>
  <c r="D66" i="13"/>
  <c r="D65" i="13"/>
  <c r="L74" i="8" s="1"/>
  <c r="D64" i="13"/>
  <c r="L69" i="8" s="1"/>
  <c r="D63" i="13"/>
  <c r="D62" i="13"/>
  <c r="L59" i="8" s="1"/>
  <c r="D61" i="13"/>
  <c r="L89" i="7" s="1"/>
  <c r="D60" i="13"/>
  <c r="L98" i="7" s="1"/>
  <c r="D59" i="13"/>
  <c r="D58" i="13"/>
  <c r="L72" i="6" s="1"/>
  <c r="D57" i="13"/>
  <c r="L51" i="7" s="1"/>
  <c r="D56" i="13"/>
  <c r="L55" i="6" s="1"/>
  <c r="D55" i="13"/>
  <c r="D54" i="13"/>
  <c r="D53" i="13"/>
  <c r="L178" i="8" s="1"/>
  <c r="D52" i="13"/>
  <c r="D51" i="13"/>
  <c r="D50" i="13"/>
  <c r="D49" i="13"/>
  <c r="L202" i="8" s="1"/>
  <c r="D48" i="13"/>
  <c r="L196" i="8" s="1"/>
  <c r="D47" i="13"/>
  <c r="D46" i="13"/>
  <c r="D45" i="13"/>
  <c r="L165" i="7" s="1"/>
  <c r="D44" i="13"/>
  <c r="L86" i="6" s="1"/>
  <c r="D43" i="13"/>
  <c r="D42" i="13"/>
  <c r="L153" i="7" s="1"/>
  <c r="D41" i="13"/>
  <c r="L55" i="5" s="1"/>
  <c r="D40" i="13"/>
  <c r="D39" i="13"/>
  <c r="D38" i="13"/>
  <c r="L26" i="5" s="1"/>
  <c r="D37" i="13"/>
  <c r="D36" i="13"/>
  <c r="L17" i="7" s="1"/>
  <c r="D35" i="13"/>
  <c r="D34" i="13"/>
  <c r="L51" i="9" s="1"/>
  <c r="D33" i="13"/>
  <c r="L76" i="9" s="1"/>
  <c r="D32" i="13"/>
  <c r="L173" i="8" s="1"/>
  <c r="D31" i="13"/>
  <c r="D30" i="13"/>
  <c r="D29" i="13"/>
  <c r="L168" i="8" s="1"/>
  <c r="D28" i="13"/>
  <c r="D27" i="13"/>
  <c r="L12" i="10" s="1"/>
  <c r="D26" i="13"/>
  <c r="D25" i="13"/>
  <c r="D24" i="13"/>
  <c r="L103" i="8" s="1"/>
  <c r="D23" i="13"/>
  <c r="D22" i="13"/>
  <c r="L163" i="8" s="1"/>
  <c r="D21" i="13"/>
  <c r="L158" i="8" s="1"/>
  <c r="D20" i="13"/>
  <c r="L153" i="8" s="1"/>
  <c r="D19" i="13"/>
  <c r="D18" i="13"/>
  <c r="D17" i="13"/>
  <c r="L134" i="7" s="1"/>
  <c r="D16" i="13"/>
  <c r="L39" i="7" s="1"/>
  <c r="D15" i="13"/>
  <c r="D14" i="13"/>
  <c r="L16" i="5" s="1"/>
  <c r="D13" i="13"/>
  <c r="L71" i="9" s="1"/>
  <c r="D12" i="13"/>
  <c r="L66" i="9" s="1"/>
  <c r="D11" i="13"/>
  <c r="D10" i="13"/>
  <c r="D9" i="13"/>
  <c r="L134" i="8" s="1"/>
  <c r="D8" i="13"/>
  <c r="L142" i="8" s="1"/>
  <c r="D7" i="13"/>
  <c r="D6" i="13"/>
  <c r="D5" i="13"/>
  <c r="L34" i="9" s="1"/>
  <c r="D4" i="13"/>
  <c r="L105" i="7" s="1"/>
  <c r="D3" i="13"/>
  <c r="D2" i="13"/>
  <c r="L22" i="9" s="1"/>
  <c r="B5" i="12"/>
  <c r="A2" i="12"/>
  <c r="A1" i="12"/>
  <c r="J16" i="11"/>
  <c r="J12" i="11" s="1"/>
  <c r="J17" i="11" s="1"/>
  <c r="K5" i="1" s="1"/>
  <c r="K5" i="7" s="1"/>
  <c r="B5" i="11"/>
  <c r="A2" i="11"/>
  <c r="A1" i="11"/>
  <c r="G13" i="10"/>
  <c r="C13" i="10"/>
  <c r="G12" i="10"/>
  <c r="C12" i="10"/>
  <c r="G8" i="10"/>
  <c r="C8" i="10"/>
  <c r="G7" i="10"/>
  <c r="C7" i="10"/>
  <c r="B5" i="10"/>
  <c r="A2" i="10"/>
  <c r="A1" i="10"/>
  <c r="G77" i="9"/>
  <c r="C77" i="9"/>
  <c r="G76" i="9"/>
  <c r="C76" i="9"/>
  <c r="G72" i="9"/>
  <c r="C72" i="9"/>
  <c r="G71" i="9"/>
  <c r="C71" i="9"/>
  <c r="I67" i="9"/>
  <c r="J67" i="9" s="1"/>
  <c r="J68" i="9" s="1"/>
  <c r="I66" i="9" s="1"/>
  <c r="M66" i="9" s="1"/>
  <c r="G67" i="9"/>
  <c r="C67" i="9"/>
  <c r="G66" i="9"/>
  <c r="C66" i="9"/>
  <c r="G62" i="9"/>
  <c r="C62" i="9"/>
  <c r="L61" i="9"/>
  <c r="G61" i="9"/>
  <c r="C61" i="9"/>
  <c r="I57" i="9"/>
  <c r="J57" i="9" s="1"/>
  <c r="J58" i="9" s="1"/>
  <c r="G57" i="9"/>
  <c r="C57" i="9"/>
  <c r="L56" i="9"/>
  <c r="G56" i="9"/>
  <c r="C56" i="9"/>
  <c r="G52" i="9"/>
  <c r="C52" i="9"/>
  <c r="G51" i="9"/>
  <c r="C51" i="9"/>
  <c r="G47" i="9"/>
  <c r="C47" i="9"/>
  <c r="G46" i="9"/>
  <c r="C46" i="9"/>
  <c r="G42" i="9"/>
  <c r="C42" i="9"/>
  <c r="G41" i="9"/>
  <c r="C41" i="9"/>
  <c r="G40" i="9"/>
  <c r="C40" i="9"/>
  <c r="I39" i="9"/>
  <c r="J39" i="9" s="1"/>
  <c r="G39" i="9"/>
  <c r="C39" i="9"/>
  <c r="G38" i="9"/>
  <c r="C38" i="9"/>
  <c r="G37" i="9"/>
  <c r="C37" i="9"/>
  <c r="G36" i="9"/>
  <c r="C36" i="9"/>
  <c r="I35" i="9"/>
  <c r="J35" i="9" s="1"/>
  <c r="G35" i="9"/>
  <c r="C35" i="9"/>
  <c r="G34" i="9"/>
  <c r="C34" i="9"/>
  <c r="G30" i="9"/>
  <c r="C30" i="9"/>
  <c r="G29" i="9"/>
  <c r="C29" i="9"/>
  <c r="G28" i="9"/>
  <c r="C28" i="9"/>
  <c r="I27" i="9"/>
  <c r="J27" i="9" s="1"/>
  <c r="G27" i="9"/>
  <c r="C27" i="9"/>
  <c r="G26" i="9"/>
  <c r="C26" i="9"/>
  <c r="G25" i="9"/>
  <c r="C25" i="9"/>
  <c r="G24" i="9"/>
  <c r="C24" i="9"/>
  <c r="I23" i="9"/>
  <c r="G23" i="9"/>
  <c r="C23" i="9"/>
  <c r="G22" i="9"/>
  <c r="C22" i="9"/>
  <c r="G18" i="9"/>
  <c r="C18" i="9"/>
  <c r="G17" i="9"/>
  <c r="C17" i="9"/>
  <c r="I13" i="9"/>
  <c r="J13" i="9" s="1"/>
  <c r="J14" i="9" s="1"/>
  <c r="G13" i="9"/>
  <c r="C13" i="9"/>
  <c r="G12" i="9"/>
  <c r="C12" i="9"/>
  <c r="I8" i="9"/>
  <c r="J8" i="9" s="1"/>
  <c r="J9" i="9" s="1"/>
  <c r="I7" i="9" s="1"/>
  <c r="G8" i="9"/>
  <c r="C8" i="9"/>
  <c r="L7" i="9"/>
  <c r="G7" i="9"/>
  <c r="C7" i="9"/>
  <c r="B5" i="9"/>
  <c r="A2" i="9"/>
  <c r="A1" i="9"/>
  <c r="G225" i="8"/>
  <c r="C225" i="8"/>
  <c r="L224" i="8"/>
  <c r="G224" i="8"/>
  <c r="C224" i="8"/>
  <c r="G220" i="8"/>
  <c r="C220" i="8"/>
  <c r="G219" i="8"/>
  <c r="C219" i="8"/>
  <c r="G215" i="8"/>
  <c r="C215" i="8"/>
  <c r="L214" i="8"/>
  <c r="G214" i="8"/>
  <c r="C214" i="8"/>
  <c r="G210" i="8"/>
  <c r="C210" i="8"/>
  <c r="G209" i="8"/>
  <c r="C209" i="8"/>
  <c r="L208" i="8"/>
  <c r="G208" i="8"/>
  <c r="C208" i="8"/>
  <c r="I204" i="8"/>
  <c r="G204" i="8"/>
  <c r="C204" i="8"/>
  <c r="G203" i="8"/>
  <c r="C203" i="8"/>
  <c r="G202" i="8"/>
  <c r="C202" i="8"/>
  <c r="I198" i="8"/>
  <c r="J198" i="8" s="1"/>
  <c r="G198" i="8"/>
  <c r="C198" i="8"/>
  <c r="G197" i="8"/>
  <c r="C197" i="8"/>
  <c r="G196" i="8"/>
  <c r="C196" i="8"/>
  <c r="I192" i="8"/>
  <c r="J192" i="8" s="1"/>
  <c r="G192" i="8"/>
  <c r="C192" i="8"/>
  <c r="G191" i="8"/>
  <c r="C191" i="8"/>
  <c r="L190" i="8"/>
  <c r="G190" i="8"/>
  <c r="C190" i="8"/>
  <c r="G186" i="8"/>
  <c r="C186" i="8"/>
  <c r="G185" i="8"/>
  <c r="C185" i="8"/>
  <c r="G184" i="8"/>
  <c r="C184" i="8"/>
  <c r="G183" i="8"/>
  <c r="C183" i="8"/>
  <c r="G182" i="8"/>
  <c r="C182" i="8"/>
  <c r="I181" i="8"/>
  <c r="J181" i="8" s="1"/>
  <c r="G181" i="8"/>
  <c r="C181" i="8"/>
  <c r="G180" i="8"/>
  <c r="C180" i="8"/>
  <c r="G179" i="8"/>
  <c r="C179" i="8"/>
  <c r="G178" i="8"/>
  <c r="C178" i="8"/>
  <c r="I174" i="8"/>
  <c r="J174" i="8" s="1"/>
  <c r="J175" i="8" s="1"/>
  <c r="G174" i="8"/>
  <c r="C174" i="8"/>
  <c r="G173" i="8"/>
  <c r="C173" i="8"/>
  <c r="G169" i="8"/>
  <c r="C169" i="8"/>
  <c r="G168" i="8"/>
  <c r="C168" i="8"/>
  <c r="G164" i="8"/>
  <c r="C164" i="8"/>
  <c r="G163" i="8"/>
  <c r="C163" i="8"/>
  <c r="G159" i="8"/>
  <c r="C159" i="8"/>
  <c r="G158" i="8"/>
  <c r="C158" i="8"/>
  <c r="G154" i="8"/>
  <c r="C154" i="8"/>
  <c r="G153" i="8"/>
  <c r="C153" i="8"/>
  <c r="G149" i="8"/>
  <c r="C149" i="8"/>
  <c r="L148" i="8"/>
  <c r="G148" i="8"/>
  <c r="C148" i="8"/>
  <c r="G144" i="8"/>
  <c r="C144" i="8"/>
  <c r="G143" i="8"/>
  <c r="C143" i="8"/>
  <c r="G142" i="8"/>
  <c r="C142" i="8"/>
  <c r="G138" i="8"/>
  <c r="C138" i="8"/>
  <c r="G137" i="8"/>
  <c r="C137" i="8"/>
  <c r="G136" i="8"/>
  <c r="C136" i="8"/>
  <c r="G135" i="8"/>
  <c r="C135" i="8"/>
  <c r="G134" i="8"/>
  <c r="C134" i="8"/>
  <c r="G130" i="8"/>
  <c r="C130" i="8"/>
  <c r="G129" i="8"/>
  <c r="C129" i="8"/>
  <c r="I128" i="8"/>
  <c r="J128" i="8" s="1"/>
  <c r="G128" i="8"/>
  <c r="C128" i="8"/>
  <c r="G127" i="8"/>
  <c r="C127" i="8"/>
  <c r="I126" i="8"/>
  <c r="J126" i="8" s="1"/>
  <c r="G126" i="8"/>
  <c r="C126" i="8"/>
  <c r="I125" i="8"/>
  <c r="J125" i="8" s="1"/>
  <c r="G125" i="8"/>
  <c r="C125" i="8"/>
  <c r="I124" i="8"/>
  <c r="G124" i="8"/>
  <c r="C124" i="8"/>
  <c r="G123" i="8"/>
  <c r="C123" i="8"/>
  <c r="L122" i="8"/>
  <c r="G122" i="8"/>
  <c r="C122" i="8"/>
  <c r="G118" i="8"/>
  <c r="C118" i="8"/>
  <c r="G117" i="8"/>
  <c r="C117" i="8"/>
  <c r="I116" i="8"/>
  <c r="J116" i="8" s="1"/>
  <c r="G116" i="8"/>
  <c r="C116" i="8"/>
  <c r="G115" i="8"/>
  <c r="C115" i="8"/>
  <c r="I114" i="8"/>
  <c r="J114" i="8" s="1"/>
  <c r="G114" i="8"/>
  <c r="C114" i="8"/>
  <c r="G113" i="8"/>
  <c r="C113" i="8"/>
  <c r="G112" i="8"/>
  <c r="C112" i="8"/>
  <c r="G111" i="8"/>
  <c r="C111" i="8"/>
  <c r="L110" i="8"/>
  <c r="G110" i="8"/>
  <c r="C110" i="8"/>
  <c r="G106" i="8"/>
  <c r="C106" i="8"/>
  <c r="G105" i="8"/>
  <c r="C105" i="8"/>
  <c r="G104" i="8"/>
  <c r="C104" i="8"/>
  <c r="G103" i="8"/>
  <c r="C103" i="8"/>
  <c r="G99" i="8"/>
  <c r="C99" i="8"/>
  <c r="G98" i="8"/>
  <c r="C98" i="8"/>
  <c r="G97" i="8"/>
  <c r="C97" i="8"/>
  <c r="I96" i="8"/>
  <c r="G96" i="8"/>
  <c r="C96" i="8"/>
  <c r="G95" i="8"/>
  <c r="C95" i="8"/>
  <c r="G94" i="8"/>
  <c r="C94" i="8"/>
  <c r="G93" i="8"/>
  <c r="C93" i="8"/>
  <c r="G92" i="8"/>
  <c r="C92" i="8"/>
  <c r="G91" i="8"/>
  <c r="C91" i="8"/>
  <c r="G87" i="8"/>
  <c r="C87" i="8"/>
  <c r="G86" i="8"/>
  <c r="C86" i="8"/>
  <c r="I85" i="8"/>
  <c r="J85" i="8" s="1"/>
  <c r="G85" i="8"/>
  <c r="C85" i="8"/>
  <c r="G84" i="8"/>
  <c r="C84" i="8"/>
  <c r="G83" i="8"/>
  <c r="C83" i="8"/>
  <c r="I82" i="8"/>
  <c r="J82" i="8" s="1"/>
  <c r="G82" i="8"/>
  <c r="C82" i="8"/>
  <c r="G81" i="8"/>
  <c r="C81" i="8"/>
  <c r="I80" i="8"/>
  <c r="G80" i="8"/>
  <c r="C80" i="8"/>
  <c r="G79" i="8"/>
  <c r="C79" i="8"/>
  <c r="G75" i="8"/>
  <c r="C75" i="8"/>
  <c r="G74" i="8"/>
  <c r="C74" i="8"/>
  <c r="I70" i="8"/>
  <c r="G70" i="8"/>
  <c r="C70" i="8"/>
  <c r="G69" i="8"/>
  <c r="C69" i="8"/>
  <c r="I65" i="8"/>
  <c r="J65" i="8" s="1"/>
  <c r="J66" i="8" s="1"/>
  <c r="G65" i="8"/>
  <c r="C65" i="8"/>
  <c r="L64" i="8"/>
  <c r="G64" i="8"/>
  <c r="C64" i="8"/>
  <c r="I60" i="8"/>
  <c r="G60" i="8"/>
  <c r="C60" i="8"/>
  <c r="G59" i="8"/>
  <c r="C59" i="8"/>
  <c r="G55" i="8"/>
  <c r="C55" i="8"/>
  <c r="G54" i="8"/>
  <c r="C54" i="8"/>
  <c r="G53" i="8"/>
  <c r="C53" i="8"/>
  <c r="I52" i="8"/>
  <c r="G52" i="8"/>
  <c r="C52" i="8"/>
  <c r="G51" i="8"/>
  <c r="C51" i="8"/>
  <c r="G50" i="8"/>
  <c r="C50" i="8"/>
  <c r="G49" i="8"/>
  <c r="C49" i="8"/>
  <c r="I48" i="8"/>
  <c r="G48" i="8"/>
  <c r="C48" i="8"/>
  <c r="L47" i="8"/>
  <c r="G47" i="8"/>
  <c r="C47" i="8"/>
  <c r="G43" i="8"/>
  <c r="C43" i="8"/>
  <c r="G42" i="8"/>
  <c r="C42" i="8"/>
  <c r="I38" i="8"/>
  <c r="G38" i="8"/>
  <c r="C38" i="8"/>
  <c r="L37" i="8"/>
  <c r="G37" i="8"/>
  <c r="C37" i="8"/>
  <c r="I33" i="8"/>
  <c r="G33" i="8"/>
  <c r="C33" i="8"/>
  <c r="L32" i="8"/>
  <c r="G32" i="8"/>
  <c r="C32" i="8"/>
  <c r="I28" i="8"/>
  <c r="G28" i="8"/>
  <c r="C28" i="8"/>
  <c r="G27" i="8"/>
  <c r="C27" i="8"/>
  <c r="G23" i="8"/>
  <c r="C23" i="8"/>
  <c r="G22" i="8"/>
  <c r="C22" i="8"/>
  <c r="I18" i="8"/>
  <c r="J18" i="8" s="1"/>
  <c r="J19" i="8" s="1"/>
  <c r="G18" i="8"/>
  <c r="C18" i="8"/>
  <c r="G17" i="8"/>
  <c r="C17" i="8"/>
  <c r="G13" i="8"/>
  <c r="C13" i="8"/>
  <c r="L12" i="8"/>
  <c r="G12" i="8"/>
  <c r="C12" i="8"/>
  <c r="I8" i="8"/>
  <c r="G8" i="8"/>
  <c r="C8" i="8"/>
  <c r="L7" i="8"/>
  <c r="G7" i="8"/>
  <c r="C7" i="8"/>
  <c r="B5" i="8"/>
  <c r="A2" i="8"/>
  <c r="A1" i="8"/>
  <c r="G195" i="7"/>
  <c r="C195" i="7"/>
  <c r="I194" i="7"/>
  <c r="J194" i="7" s="1"/>
  <c r="G194" i="7"/>
  <c r="C194" i="7"/>
  <c r="G193" i="7"/>
  <c r="C193" i="7"/>
  <c r="I192" i="7"/>
  <c r="G192" i="7"/>
  <c r="C192" i="7"/>
  <c r="G191" i="7"/>
  <c r="C191" i="7"/>
  <c r="G190" i="7"/>
  <c r="C190" i="7"/>
  <c r="G189" i="7"/>
  <c r="C189" i="7"/>
  <c r="G188" i="7"/>
  <c r="C188" i="7"/>
  <c r="G187" i="7"/>
  <c r="C187" i="7"/>
  <c r="G183" i="7"/>
  <c r="C183" i="7"/>
  <c r="I182" i="7"/>
  <c r="J182" i="7" s="1"/>
  <c r="G182" i="7"/>
  <c r="C182" i="7"/>
  <c r="G181" i="7"/>
  <c r="C181" i="7"/>
  <c r="I180" i="7"/>
  <c r="G180" i="7"/>
  <c r="C180" i="7"/>
  <c r="G179" i="7"/>
  <c r="C179" i="7"/>
  <c r="G178" i="7"/>
  <c r="C178" i="7"/>
  <c r="G177" i="7"/>
  <c r="C177" i="7"/>
  <c r="G176" i="7"/>
  <c r="C176" i="7"/>
  <c r="G175" i="7"/>
  <c r="C175" i="7"/>
  <c r="G171" i="7"/>
  <c r="C171" i="7"/>
  <c r="G170" i="7"/>
  <c r="C170" i="7"/>
  <c r="G169" i="7"/>
  <c r="C169" i="7"/>
  <c r="G168" i="7"/>
  <c r="C168" i="7"/>
  <c r="G167" i="7"/>
  <c r="C167" i="7"/>
  <c r="G166" i="7"/>
  <c r="C166" i="7"/>
  <c r="G165" i="7"/>
  <c r="C165" i="7"/>
  <c r="G161" i="7"/>
  <c r="C161" i="7"/>
  <c r="I160" i="7"/>
  <c r="G160" i="7"/>
  <c r="C160" i="7"/>
  <c r="I159" i="7"/>
  <c r="J159" i="7" s="1"/>
  <c r="G159" i="7"/>
  <c r="C159" i="7"/>
  <c r="I158" i="7"/>
  <c r="G158" i="7"/>
  <c r="C158" i="7"/>
  <c r="G157" i="7"/>
  <c r="C157" i="7"/>
  <c r="G156" i="7"/>
  <c r="C156" i="7"/>
  <c r="I155" i="7"/>
  <c r="J155" i="7" s="1"/>
  <c r="G155" i="7"/>
  <c r="C155" i="7"/>
  <c r="I154" i="7"/>
  <c r="G154" i="7"/>
  <c r="C154" i="7"/>
  <c r="G153" i="7"/>
  <c r="C153" i="7"/>
  <c r="G149" i="7"/>
  <c r="C149" i="7"/>
  <c r="I148" i="7"/>
  <c r="G148" i="7"/>
  <c r="C148" i="7"/>
  <c r="I147" i="7"/>
  <c r="G147" i="7"/>
  <c r="C147" i="7"/>
  <c r="G146" i="7"/>
  <c r="C146" i="7"/>
  <c r="G145" i="7"/>
  <c r="C145" i="7"/>
  <c r="G144" i="7"/>
  <c r="C144" i="7"/>
  <c r="G143" i="7"/>
  <c r="C143" i="7"/>
  <c r="G142" i="7"/>
  <c r="C142" i="7"/>
  <c r="L141" i="7"/>
  <c r="G141" i="7"/>
  <c r="C141" i="7"/>
  <c r="G137" i="7"/>
  <c r="C137" i="7"/>
  <c r="G136" i="7"/>
  <c r="C136" i="7"/>
  <c r="G135" i="7"/>
  <c r="C135" i="7"/>
  <c r="G134" i="7"/>
  <c r="C134" i="7"/>
  <c r="G130" i="7"/>
  <c r="C130" i="7"/>
  <c r="G129" i="7"/>
  <c r="C129" i="7"/>
  <c r="G128" i="7"/>
  <c r="C128" i="7"/>
  <c r="G127" i="7"/>
  <c r="C127" i="7"/>
  <c r="G126" i="7"/>
  <c r="C126" i="7"/>
  <c r="L125" i="7"/>
  <c r="G125" i="7"/>
  <c r="C125" i="7"/>
  <c r="G121" i="7"/>
  <c r="C121" i="7"/>
  <c r="G120" i="7"/>
  <c r="C120" i="7"/>
  <c r="G119" i="7"/>
  <c r="C119" i="7"/>
  <c r="G118" i="7"/>
  <c r="C118" i="7"/>
  <c r="G117" i="7"/>
  <c r="C117" i="7"/>
  <c r="I116" i="7"/>
  <c r="J116" i="7" s="1"/>
  <c r="G116" i="7"/>
  <c r="C116" i="7"/>
  <c r="I115" i="7"/>
  <c r="G115" i="7"/>
  <c r="C115" i="7"/>
  <c r="L114" i="7"/>
  <c r="G114" i="7"/>
  <c r="C114" i="7"/>
  <c r="G110" i="7"/>
  <c r="C110" i="7"/>
  <c r="G109" i="7"/>
  <c r="C109" i="7"/>
  <c r="G108" i="7"/>
  <c r="C108" i="7"/>
  <c r="I107" i="7"/>
  <c r="J107" i="7" s="1"/>
  <c r="G107" i="7"/>
  <c r="C107" i="7"/>
  <c r="I106" i="7"/>
  <c r="G106" i="7"/>
  <c r="C106" i="7"/>
  <c r="G105" i="7"/>
  <c r="C105" i="7"/>
  <c r="G101" i="7"/>
  <c r="C101" i="7"/>
  <c r="G100" i="7"/>
  <c r="C100" i="7"/>
  <c r="G99" i="7"/>
  <c r="C99" i="7"/>
  <c r="G98" i="7"/>
  <c r="C98" i="7"/>
  <c r="G94" i="7"/>
  <c r="C94" i="7"/>
  <c r="G93" i="7"/>
  <c r="C93" i="7"/>
  <c r="G92" i="7"/>
  <c r="C92" i="7"/>
  <c r="G91" i="7"/>
  <c r="C91" i="7"/>
  <c r="G90" i="7"/>
  <c r="C90" i="7"/>
  <c r="G89" i="7"/>
  <c r="C89" i="7"/>
  <c r="G85" i="7"/>
  <c r="C85" i="7"/>
  <c r="G84" i="7"/>
  <c r="C84" i="7"/>
  <c r="L83" i="7"/>
  <c r="G83" i="7"/>
  <c r="C83" i="7"/>
  <c r="G79" i="7"/>
  <c r="C79" i="7"/>
  <c r="G78" i="7"/>
  <c r="C78" i="7"/>
  <c r="G77" i="7"/>
  <c r="C77" i="7"/>
  <c r="G76" i="7"/>
  <c r="C76" i="7"/>
  <c r="G75" i="7"/>
  <c r="C75" i="7"/>
  <c r="G71" i="7"/>
  <c r="C71" i="7"/>
  <c r="I70" i="7"/>
  <c r="J70" i="7" s="1"/>
  <c r="G70" i="7"/>
  <c r="C70" i="7"/>
  <c r="G69" i="7"/>
  <c r="C69" i="7"/>
  <c r="I68" i="7"/>
  <c r="G68" i="7"/>
  <c r="C68" i="7"/>
  <c r="I67" i="7"/>
  <c r="J67" i="7" s="1"/>
  <c r="G67" i="7"/>
  <c r="C67" i="7"/>
  <c r="I66" i="7"/>
  <c r="G66" i="7"/>
  <c r="C66" i="7"/>
  <c r="G65" i="7"/>
  <c r="C65" i="7"/>
  <c r="I64" i="7"/>
  <c r="J64" i="7" s="1"/>
  <c r="G64" i="7"/>
  <c r="C64" i="7"/>
  <c r="L63" i="7"/>
  <c r="G63" i="7"/>
  <c r="C63" i="7"/>
  <c r="G59" i="7"/>
  <c r="C59" i="7"/>
  <c r="G58" i="7"/>
  <c r="C58" i="7"/>
  <c r="G57" i="7"/>
  <c r="C57" i="7"/>
  <c r="G56" i="7"/>
  <c r="C56" i="7"/>
  <c r="G55" i="7"/>
  <c r="C55" i="7"/>
  <c r="I54" i="7"/>
  <c r="G54" i="7"/>
  <c r="C54" i="7"/>
  <c r="G53" i="7"/>
  <c r="C53" i="7"/>
  <c r="I52" i="7"/>
  <c r="J52" i="7" s="1"/>
  <c r="G52" i="7"/>
  <c r="C52" i="7"/>
  <c r="G51" i="7"/>
  <c r="C51" i="7"/>
  <c r="G47" i="7"/>
  <c r="C47" i="7"/>
  <c r="G46" i="7"/>
  <c r="C46" i="7"/>
  <c r="G45" i="7"/>
  <c r="C45" i="7"/>
  <c r="I44" i="7"/>
  <c r="G44" i="7"/>
  <c r="C44" i="7"/>
  <c r="G43" i="7"/>
  <c r="C43" i="7"/>
  <c r="I42" i="7"/>
  <c r="J42" i="7" s="1"/>
  <c r="G42" i="7"/>
  <c r="C42" i="7"/>
  <c r="G41" i="7"/>
  <c r="C41" i="7"/>
  <c r="G40" i="7"/>
  <c r="C40" i="7"/>
  <c r="G39" i="7"/>
  <c r="C39" i="7"/>
  <c r="G35" i="7"/>
  <c r="C35" i="7"/>
  <c r="G34" i="7"/>
  <c r="C34" i="7"/>
  <c r="G33" i="7"/>
  <c r="C33" i="7"/>
  <c r="G32" i="7"/>
  <c r="C32" i="7"/>
  <c r="G31" i="7"/>
  <c r="C31" i="7"/>
  <c r="I30" i="7"/>
  <c r="J30" i="7" s="1"/>
  <c r="G30" i="7"/>
  <c r="C30" i="7"/>
  <c r="G29" i="7"/>
  <c r="C29" i="7"/>
  <c r="I28" i="7"/>
  <c r="G28" i="7"/>
  <c r="C28" i="7"/>
  <c r="L27" i="7"/>
  <c r="G27" i="7"/>
  <c r="C27" i="7"/>
  <c r="G23" i="7"/>
  <c r="C23" i="7"/>
  <c r="G22" i="7"/>
  <c r="C22" i="7"/>
  <c r="I18" i="7"/>
  <c r="J18" i="7" s="1"/>
  <c r="J19" i="7" s="1"/>
  <c r="I17" i="7" s="1"/>
  <c r="M17" i="7" s="1"/>
  <c r="G18" i="7"/>
  <c r="C18" i="7"/>
  <c r="G17" i="7"/>
  <c r="C17" i="7"/>
  <c r="G13" i="7"/>
  <c r="C13" i="7"/>
  <c r="L12" i="7"/>
  <c r="G12" i="7"/>
  <c r="C12" i="7"/>
  <c r="G8" i="7"/>
  <c r="C8" i="7"/>
  <c r="G7" i="7"/>
  <c r="C7" i="7"/>
  <c r="B5" i="7"/>
  <c r="A2" i="7"/>
  <c r="A1" i="7"/>
  <c r="G98" i="6"/>
  <c r="C98" i="6"/>
  <c r="G97" i="6"/>
  <c r="C97" i="6"/>
  <c r="G96" i="6"/>
  <c r="C96" i="6"/>
  <c r="G95" i="6"/>
  <c r="C95" i="6"/>
  <c r="I94" i="6"/>
  <c r="G94" i="6"/>
  <c r="C94" i="6"/>
  <c r="L93" i="6"/>
  <c r="G93" i="6"/>
  <c r="C93" i="6"/>
  <c r="G89" i="6"/>
  <c r="C89" i="6"/>
  <c r="G88" i="6"/>
  <c r="C88" i="6"/>
  <c r="G87" i="6"/>
  <c r="C87" i="6"/>
  <c r="G86" i="6"/>
  <c r="C86" i="6"/>
  <c r="G82" i="6"/>
  <c r="C82" i="6"/>
  <c r="L81" i="6"/>
  <c r="G81" i="6"/>
  <c r="C81" i="6"/>
  <c r="G77" i="6"/>
  <c r="C77" i="6"/>
  <c r="G76" i="6"/>
  <c r="C76" i="6"/>
  <c r="G75" i="6"/>
  <c r="C75" i="6"/>
  <c r="G74" i="6"/>
  <c r="C74" i="6"/>
  <c r="G73" i="6"/>
  <c r="C73" i="6"/>
  <c r="G72" i="6"/>
  <c r="C72" i="6"/>
  <c r="G68" i="6"/>
  <c r="C68" i="6"/>
  <c r="G67" i="6"/>
  <c r="C67" i="6"/>
  <c r="G66" i="6"/>
  <c r="C66" i="6"/>
  <c r="G65" i="6"/>
  <c r="C65" i="6"/>
  <c r="G64" i="6"/>
  <c r="C64" i="6"/>
  <c r="G63" i="6"/>
  <c r="C63" i="6"/>
  <c r="G62" i="6"/>
  <c r="C62" i="6"/>
  <c r="G61" i="6"/>
  <c r="C61" i="6"/>
  <c r="G60" i="6"/>
  <c r="C60" i="6"/>
  <c r="G59" i="6"/>
  <c r="C59" i="6"/>
  <c r="G58" i="6"/>
  <c r="C58" i="6"/>
  <c r="I57" i="6"/>
  <c r="G57" i="6"/>
  <c r="C57" i="6"/>
  <c r="G56" i="6"/>
  <c r="C56" i="6"/>
  <c r="G55" i="6"/>
  <c r="C55" i="6"/>
  <c r="G51" i="6"/>
  <c r="C51" i="6"/>
  <c r="G50" i="6"/>
  <c r="C50" i="6"/>
  <c r="I49" i="6"/>
  <c r="J49" i="6" s="1"/>
  <c r="G49" i="6"/>
  <c r="C49" i="6"/>
  <c r="I48" i="6"/>
  <c r="G48" i="6"/>
  <c r="C48" i="6"/>
  <c r="G47" i="6"/>
  <c r="C47" i="6"/>
  <c r="G46" i="6"/>
  <c r="C46" i="6"/>
  <c r="G45" i="6"/>
  <c r="C45" i="6"/>
  <c r="G44" i="6"/>
  <c r="C44" i="6"/>
  <c r="L43" i="6"/>
  <c r="G43" i="6"/>
  <c r="C43" i="6"/>
  <c r="G39" i="6"/>
  <c r="C39" i="6"/>
  <c r="G38" i="6"/>
  <c r="C38" i="6"/>
  <c r="G37" i="6"/>
  <c r="C37" i="6"/>
  <c r="G36" i="6"/>
  <c r="C36" i="6"/>
  <c r="G35" i="6"/>
  <c r="C35" i="6"/>
  <c r="I34" i="6"/>
  <c r="J34" i="6" s="1"/>
  <c r="G34" i="6"/>
  <c r="C34" i="6"/>
  <c r="G33" i="6"/>
  <c r="C33" i="6"/>
  <c r="G32" i="6"/>
  <c r="C32" i="6"/>
  <c r="G31" i="6"/>
  <c r="C31" i="6"/>
  <c r="G27" i="6"/>
  <c r="C27" i="6"/>
  <c r="I26" i="6"/>
  <c r="G26" i="6"/>
  <c r="C26" i="6"/>
  <c r="G25" i="6"/>
  <c r="C25" i="6"/>
  <c r="I24" i="6"/>
  <c r="J24" i="6" s="1"/>
  <c r="G24" i="6"/>
  <c r="C24" i="6"/>
  <c r="G23" i="6"/>
  <c r="C23" i="6"/>
  <c r="G22" i="6"/>
  <c r="C22" i="6"/>
  <c r="G21" i="6"/>
  <c r="C21" i="6"/>
  <c r="G20" i="6"/>
  <c r="C20" i="6"/>
  <c r="G19" i="6"/>
  <c r="C19" i="6"/>
  <c r="G15" i="6"/>
  <c r="C15" i="6"/>
  <c r="I14" i="6"/>
  <c r="J14" i="6" s="1"/>
  <c r="G14" i="6"/>
  <c r="C14" i="6"/>
  <c r="G13" i="6"/>
  <c r="C13" i="6"/>
  <c r="I12" i="6"/>
  <c r="J12" i="6" s="1"/>
  <c r="G12" i="6"/>
  <c r="C12" i="6"/>
  <c r="G11" i="6"/>
  <c r="C11" i="6"/>
  <c r="G10" i="6"/>
  <c r="C10" i="6"/>
  <c r="G9" i="6"/>
  <c r="C9" i="6"/>
  <c r="G8" i="6"/>
  <c r="C8" i="6"/>
  <c r="G7" i="6"/>
  <c r="C7" i="6"/>
  <c r="B5" i="6"/>
  <c r="A2" i="6"/>
  <c r="A1" i="6"/>
  <c r="G99" i="5"/>
  <c r="C99" i="5"/>
  <c r="G98" i="5"/>
  <c r="C98" i="5"/>
  <c r="I97" i="5"/>
  <c r="G97" i="5"/>
  <c r="C97" i="5"/>
  <c r="G96" i="5"/>
  <c r="C96" i="5"/>
  <c r="L95" i="5"/>
  <c r="G95" i="5"/>
  <c r="C95" i="5"/>
  <c r="G89" i="5"/>
  <c r="C89" i="5"/>
  <c r="G88" i="5"/>
  <c r="C88" i="5"/>
  <c r="I87" i="5"/>
  <c r="G87" i="5"/>
  <c r="C87" i="5"/>
  <c r="L86" i="5"/>
  <c r="G86" i="5"/>
  <c r="C86" i="5"/>
  <c r="G80" i="5"/>
  <c r="C80" i="5"/>
  <c r="G79" i="5"/>
  <c r="C79" i="5"/>
  <c r="G78" i="5"/>
  <c r="C78" i="5"/>
  <c r="I77" i="5"/>
  <c r="G77" i="5"/>
  <c r="C77" i="5"/>
  <c r="I76" i="5"/>
  <c r="J76" i="5" s="1"/>
  <c r="G76" i="5"/>
  <c r="C76" i="5"/>
  <c r="G69" i="5"/>
  <c r="C69" i="5"/>
  <c r="G68" i="5"/>
  <c r="C68" i="5"/>
  <c r="I67" i="5"/>
  <c r="J67" i="5" s="1"/>
  <c r="G67" i="5"/>
  <c r="C67" i="5"/>
  <c r="G66" i="5"/>
  <c r="C66" i="5"/>
  <c r="L65" i="5"/>
  <c r="G65" i="5"/>
  <c r="C65" i="5"/>
  <c r="G59" i="5"/>
  <c r="C59" i="5"/>
  <c r="G58" i="5"/>
  <c r="C58" i="5"/>
  <c r="G57" i="5"/>
  <c r="C57" i="5"/>
  <c r="G56" i="5"/>
  <c r="C56" i="5"/>
  <c r="G55" i="5"/>
  <c r="C55" i="5"/>
  <c r="G49" i="5"/>
  <c r="C49" i="5"/>
  <c r="G48" i="5"/>
  <c r="C48" i="5"/>
  <c r="G47" i="5"/>
  <c r="C47" i="5"/>
  <c r="G40" i="5"/>
  <c r="C40" i="5"/>
  <c r="G39" i="5"/>
  <c r="C39" i="5"/>
  <c r="G38" i="5"/>
  <c r="C38" i="5"/>
  <c r="G37" i="5"/>
  <c r="C37" i="5"/>
  <c r="G36" i="5"/>
  <c r="C36" i="5"/>
  <c r="L35" i="5"/>
  <c r="G35" i="5"/>
  <c r="C35" i="5"/>
  <c r="G29" i="5"/>
  <c r="C29" i="5"/>
  <c r="G28" i="5"/>
  <c r="C28" i="5"/>
  <c r="G27" i="5"/>
  <c r="C27" i="5"/>
  <c r="G26" i="5"/>
  <c r="C26" i="5"/>
  <c r="G20" i="5"/>
  <c r="C20" i="5"/>
  <c r="G19" i="5"/>
  <c r="C19" i="5"/>
  <c r="I18" i="5"/>
  <c r="G18" i="5"/>
  <c r="C18" i="5"/>
  <c r="G17" i="5"/>
  <c r="C17" i="5"/>
  <c r="G16" i="5"/>
  <c r="C16" i="5"/>
  <c r="G10" i="5"/>
  <c r="C10" i="5"/>
  <c r="G9" i="5"/>
  <c r="C9" i="5"/>
  <c r="I8" i="5"/>
  <c r="G8" i="5"/>
  <c r="C8" i="5"/>
  <c r="B5" i="5"/>
  <c r="A2" i="5"/>
  <c r="A1" i="5"/>
  <c r="B5" i="4"/>
  <c r="A2" i="4"/>
  <c r="A1" i="4"/>
  <c r="D17" i="3"/>
  <c r="D8" i="3"/>
  <c r="D5" i="3"/>
  <c r="B2" i="3"/>
  <c r="B1" i="3"/>
  <c r="B5" i="2"/>
  <c r="A2" i="2"/>
  <c r="A1" i="2"/>
  <c r="J43" i="12"/>
  <c r="I43" i="12"/>
  <c r="J41" i="12"/>
  <c r="I41" i="12"/>
  <c r="H41" i="12"/>
  <c r="G41" i="12"/>
  <c r="J37" i="12"/>
  <c r="I37" i="12"/>
  <c r="H37" i="12"/>
  <c r="G37" i="12"/>
  <c r="J30" i="12"/>
  <c r="I30" i="12"/>
  <c r="H30" i="12"/>
  <c r="G30" i="12"/>
  <c r="J18" i="12"/>
  <c r="I18" i="12"/>
  <c r="H18" i="12"/>
  <c r="H43" i="12" s="1"/>
  <c r="G18" i="12"/>
  <c r="G43" i="12" s="1"/>
  <c r="H5" i="1" s="1"/>
  <c r="J15" i="11"/>
  <c r="C15" i="11"/>
  <c r="J8" i="10"/>
  <c r="J9" i="10" s="1"/>
  <c r="J62" i="9"/>
  <c r="J63" i="9" s="1"/>
  <c r="I61" i="9" s="1"/>
  <c r="M61" i="9" s="1"/>
  <c r="J23" i="9"/>
  <c r="I219" i="8"/>
  <c r="J204" i="8"/>
  <c r="J179" i="8"/>
  <c r="J127" i="8"/>
  <c r="J124" i="8"/>
  <c r="J104" i="8"/>
  <c r="J96" i="8"/>
  <c r="J80" i="8"/>
  <c r="J70" i="8"/>
  <c r="J71" i="8" s="1"/>
  <c r="I69" i="8"/>
  <c r="M69" i="8" s="1"/>
  <c r="J60" i="8"/>
  <c r="J61" i="8" s="1"/>
  <c r="I91" i="7" s="1"/>
  <c r="J91" i="7" s="1"/>
  <c r="J52" i="8"/>
  <c r="J48" i="8"/>
  <c r="J38" i="8"/>
  <c r="J39" i="8" s="1"/>
  <c r="J33" i="8"/>
  <c r="J34" i="8" s="1"/>
  <c r="J28" i="8"/>
  <c r="J29" i="8" s="1"/>
  <c r="J8" i="8"/>
  <c r="J9" i="8" s="1"/>
  <c r="J192" i="7"/>
  <c r="J180" i="7"/>
  <c r="J160" i="7"/>
  <c r="J158" i="7"/>
  <c r="J154" i="7"/>
  <c r="J148" i="7"/>
  <c r="J147" i="7"/>
  <c r="J115" i="7"/>
  <c r="J106" i="7"/>
  <c r="J68" i="7"/>
  <c r="J66" i="7"/>
  <c r="J54" i="7"/>
  <c r="J44" i="7"/>
  <c r="J28" i="7"/>
  <c r="J95" i="6"/>
  <c r="J94" i="6"/>
  <c r="J57" i="6"/>
  <c r="J48" i="6"/>
  <c r="J32" i="6"/>
  <c r="J26" i="6"/>
  <c r="H99" i="5"/>
  <c r="H98" i="5"/>
  <c r="H97" i="5"/>
  <c r="J97" i="5" s="1"/>
  <c r="H96" i="5"/>
  <c r="H89" i="5"/>
  <c r="H88" i="5"/>
  <c r="H87" i="5"/>
  <c r="J87" i="5" s="1"/>
  <c r="H80" i="5"/>
  <c r="H79" i="5"/>
  <c r="H78" i="5"/>
  <c r="H77" i="5"/>
  <c r="J77" i="5" s="1"/>
  <c r="H76" i="5"/>
  <c r="H69" i="5"/>
  <c r="H68" i="5"/>
  <c r="H67" i="5"/>
  <c r="H66" i="5"/>
  <c r="J66" i="5" s="1"/>
  <c r="H59" i="5"/>
  <c r="H58" i="5"/>
  <c r="H57" i="5"/>
  <c r="H56" i="5"/>
  <c r="J56" i="5" s="1"/>
  <c r="H49" i="5"/>
  <c r="H48" i="5"/>
  <c r="J47" i="5"/>
  <c r="H47" i="5"/>
  <c r="H40" i="5"/>
  <c r="H39" i="5"/>
  <c r="H38" i="5"/>
  <c r="H37" i="5"/>
  <c r="H36" i="5"/>
  <c r="H29" i="5"/>
  <c r="H28" i="5"/>
  <c r="J27" i="5"/>
  <c r="H27" i="5"/>
  <c r="H20" i="5"/>
  <c r="H19" i="5"/>
  <c r="H18" i="5"/>
  <c r="J18" i="5" s="1"/>
  <c r="H17" i="5"/>
  <c r="J17" i="5" s="1"/>
  <c r="H10" i="5"/>
  <c r="H9" i="5"/>
  <c r="H8" i="5"/>
  <c r="M39" i="4"/>
  <c r="N39" i="4" s="1"/>
  <c r="O39" i="4" s="1"/>
  <c r="P38" i="4" s="1"/>
  <c r="M36" i="4"/>
  <c r="N36" i="4" s="1"/>
  <c r="O36" i="4" s="1"/>
  <c r="P35" i="4" s="1"/>
  <c r="J16" i="3" s="1"/>
  <c r="M33" i="4"/>
  <c r="N33" i="4" s="1"/>
  <c r="O33" i="4" s="1"/>
  <c r="P32" i="4" s="1"/>
  <c r="J15" i="3" s="1"/>
  <c r="O30" i="4"/>
  <c r="P29" i="4" s="1"/>
  <c r="M30" i="4"/>
  <c r="N30" i="4" s="1"/>
  <c r="M27" i="4"/>
  <c r="N27" i="4" s="1"/>
  <c r="O27" i="4" s="1"/>
  <c r="P26" i="4" s="1"/>
  <c r="M24" i="4"/>
  <c r="N24" i="4" s="1"/>
  <c r="O24" i="4" s="1"/>
  <c r="P23" i="4" s="1"/>
  <c r="J13" i="3" s="1"/>
  <c r="M21" i="4"/>
  <c r="N21" i="4" s="1"/>
  <c r="O21" i="4" s="1"/>
  <c r="P20" i="4" s="1"/>
  <c r="J12" i="3" s="1"/>
  <c r="O18" i="4"/>
  <c r="P17" i="4" s="1"/>
  <c r="J11" i="3" s="1"/>
  <c r="M18" i="4"/>
  <c r="N18" i="4" s="1"/>
  <c r="M15" i="4"/>
  <c r="N15" i="4" s="1"/>
  <c r="O15" i="4" s="1"/>
  <c r="P14" i="4" s="1"/>
  <c r="M12" i="4"/>
  <c r="N12" i="4" s="1"/>
  <c r="O12" i="4" s="1"/>
  <c r="P11" i="4" s="1"/>
  <c r="M9" i="4"/>
  <c r="N9" i="4" s="1"/>
  <c r="O9" i="4" s="1"/>
  <c r="P8" i="4" s="1"/>
  <c r="J36" i="5" l="1"/>
  <c r="L91" i="8"/>
  <c r="M7" i="9"/>
  <c r="L17" i="9"/>
  <c r="M163" i="8"/>
  <c r="L31" i="6"/>
  <c r="I34" i="7"/>
  <c r="J34" i="7" s="1"/>
  <c r="I92" i="7"/>
  <c r="J92" i="7" s="1"/>
  <c r="I64" i="8"/>
  <c r="M64" i="8" s="1"/>
  <c r="I92" i="8"/>
  <c r="J92" i="8" s="1"/>
  <c r="I13" i="10"/>
  <c r="J13" i="10" s="1"/>
  <c r="J14" i="10" s="1"/>
  <c r="I42" i="9" s="1"/>
  <c r="J42" i="9" s="1"/>
  <c r="I159" i="8"/>
  <c r="J159" i="8" s="1"/>
  <c r="J160" i="8" s="1"/>
  <c r="I158" i="8" s="1"/>
  <c r="I149" i="8"/>
  <c r="J149" i="8" s="1"/>
  <c r="J150" i="8" s="1"/>
  <c r="I127" i="7" s="1"/>
  <c r="J127" i="7" s="1"/>
  <c r="I154" i="8"/>
  <c r="J154" i="8" s="1"/>
  <c r="J155" i="8" s="1"/>
  <c r="I43" i="8"/>
  <c r="J43" i="8" s="1"/>
  <c r="J44" i="8" s="1"/>
  <c r="I42" i="8" s="1"/>
  <c r="M42" i="8" s="1"/>
  <c r="I72" i="9"/>
  <c r="J72" i="9" s="1"/>
  <c r="J73" i="9" s="1"/>
  <c r="I38" i="9"/>
  <c r="J38" i="9" s="1"/>
  <c r="I179" i="7"/>
  <c r="J179" i="7" s="1"/>
  <c r="I55" i="7"/>
  <c r="J55" i="7" s="1"/>
  <c r="I31" i="7"/>
  <c r="J31" i="7" s="1"/>
  <c r="I11" i="6"/>
  <c r="J11" i="6" s="1"/>
  <c r="I182" i="8"/>
  <c r="J182" i="8" s="1"/>
  <c r="I95" i="8"/>
  <c r="J95" i="8" s="1"/>
  <c r="I83" i="8"/>
  <c r="J83" i="8" s="1"/>
  <c r="I47" i="6"/>
  <c r="J47" i="6" s="1"/>
  <c r="I35" i="6"/>
  <c r="J35" i="6" s="1"/>
  <c r="I26" i="9"/>
  <c r="J26" i="9" s="1"/>
  <c r="I51" i="8"/>
  <c r="J51" i="8" s="1"/>
  <c r="I191" i="7"/>
  <c r="J191" i="7" s="1"/>
  <c r="I157" i="7"/>
  <c r="J157" i="7" s="1"/>
  <c r="I145" i="7"/>
  <c r="J145" i="7" s="1"/>
  <c r="I23" i="6"/>
  <c r="J23" i="6" s="1"/>
  <c r="I23" i="8"/>
  <c r="J23" i="8" s="1"/>
  <c r="J24" i="8" s="1"/>
  <c r="I22" i="8" s="1"/>
  <c r="I44" i="6"/>
  <c r="J44" i="6" s="1"/>
  <c r="I47" i="9"/>
  <c r="J47" i="9" s="1"/>
  <c r="J48" i="9" s="1"/>
  <c r="I46" i="9" s="1"/>
  <c r="I23" i="7"/>
  <c r="J23" i="7" s="1"/>
  <c r="J24" i="7" s="1"/>
  <c r="I22" i="7" s="1"/>
  <c r="I53" i="8"/>
  <c r="J53" i="8" s="1"/>
  <c r="I111" i="8"/>
  <c r="J111" i="8" s="1"/>
  <c r="I87" i="8"/>
  <c r="J87" i="8" s="1"/>
  <c r="I12" i="9"/>
  <c r="L12" i="9"/>
  <c r="L7" i="10"/>
  <c r="I24" i="9"/>
  <c r="J24" i="9" s="1"/>
  <c r="I123" i="8"/>
  <c r="J123" i="8" s="1"/>
  <c r="I189" i="7"/>
  <c r="J189" i="7" s="1"/>
  <c r="I65" i="7"/>
  <c r="J65" i="7" s="1"/>
  <c r="I41" i="7"/>
  <c r="J41" i="7" s="1"/>
  <c r="I21" i="6"/>
  <c r="J21" i="6" s="1"/>
  <c r="I112" i="8"/>
  <c r="J112" i="8" s="1"/>
  <c r="I53" i="7"/>
  <c r="J53" i="7" s="1"/>
  <c r="I29" i="7"/>
  <c r="J29" i="7" s="1"/>
  <c r="I93" i="8"/>
  <c r="J93" i="8" s="1"/>
  <c r="I45" i="6"/>
  <c r="J45" i="6" s="1"/>
  <c r="I169" i="8"/>
  <c r="J169" i="8" s="1"/>
  <c r="J170" i="8" s="1"/>
  <c r="I142" i="7"/>
  <c r="J142" i="7" s="1"/>
  <c r="I98" i="8"/>
  <c r="J98" i="8" s="1"/>
  <c r="I86" i="8"/>
  <c r="J86" i="8" s="1"/>
  <c r="I38" i="6"/>
  <c r="J38" i="6" s="1"/>
  <c r="I41" i="9"/>
  <c r="J41" i="9" s="1"/>
  <c r="I29" i="9"/>
  <c r="J29" i="9" s="1"/>
  <c r="I45" i="7"/>
  <c r="J45" i="7" s="1"/>
  <c r="I33" i="7"/>
  <c r="J33" i="7" s="1"/>
  <c r="I28" i="9"/>
  <c r="J28" i="9" s="1"/>
  <c r="I40" i="9"/>
  <c r="J40" i="9" s="1"/>
  <c r="I57" i="7"/>
  <c r="J57" i="7" s="1"/>
  <c r="I203" i="8"/>
  <c r="J203" i="8" s="1"/>
  <c r="J205" i="8" s="1"/>
  <c r="I202" i="8" s="1"/>
  <c r="M202" i="8" s="1"/>
  <c r="I197" i="8"/>
  <c r="J197" i="8" s="1"/>
  <c r="J199" i="8" s="1"/>
  <c r="I168" i="7" s="1"/>
  <c r="J168" i="7" s="1"/>
  <c r="I191" i="8"/>
  <c r="J191" i="8" s="1"/>
  <c r="J193" i="8" s="1"/>
  <c r="I59" i="8"/>
  <c r="M59" i="8" s="1"/>
  <c r="I9" i="6"/>
  <c r="J9" i="6" s="1"/>
  <c r="I8" i="7"/>
  <c r="J8" i="7" s="1"/>
  <c r="J9" i="7" s="1"/>
  <c r="I7" i="7" s="1"/>
  <c r="M7" i="7" s="1"/>
  <c r="I143" i="7"/>
  <c r="J143" i="7" s="1"/>
  <c r="I177" i="7"/>
  <c r="J177" i="7" s="1"/>
  <c r="I97" i="8"/>
  <c r="J97" i="8" s="1"/>
  <c r="I209" i="8"/>
  <c r="J209" i="8" s="1"/>
  <c r="J211" i="8" s="1"/>
  <c r="I208" i="8" s="1"/>
  <c r="M208" i="8" s="1"/>
  <c r="I77" i="9"/>
  <c r="J77" i="9" s="1"/>
  <c r="J78" i="9" s="1"/>
  <c r="I186" i="8" s="1"/>
  <c r="J186" i="8" s="1"/>
  <c r="J187" i="8" s="1"/>
  <c r="L7" i="7"/>
  <c r="L219" i="8"/>
  <c r="M219" i="8" s="1"/>
  <c r="L187" i="7"/>
  <c r="L19" i="6"/>
  <c r="I225" i="8"/>
  <c r="J225" i="8" s="1"/>
  <c r="J226" i="8" s="1"/>
  <c r="I224" i="8" s="1"/>
  <c r="M224" i="8" s="1"/>
  <c r="I13" i="7"/>
  <c r="J13" i="7" s="1"/>
  <c r="J14" i="7" s="1"/>
  <c r="I188" i="7"/>
  <c r="J188" i="7" s="1"/>
  <c r="I20" i="6"/>
  <c r="J20" i="6" s="1"/>
  <c r="I54" i="8"/>
  <c r="J54" i="8" s="1"/>
  <c r="I185" i="8"/>
  <c r="J185" i="8" s="1"/>
  <c r="J8" i="5"/>
  <c r="C20" i="4"/>
  <c r="C29" i="4"/>
  <c r="L17" i="8"/>
  <c r="M158" i="8"/>
  <c r="L46" i="9"/>
  <c r="L22" i="8"/>
  <c r="L22" i="7"/>
  <c r="I8" i="6"/>
  <c r="J8" i="6" s="1"/>
  <c r="I37" i="6"/>
  <c r="J37" i="6" s="1"/>
  <c r="I40" i="7"/>
  <c r="J40" i="7" s="1"/>
  <c r="I43" i="7"/>
  <c r="J43" i="7" s="1"/>
  <c r="I176" i="7"/>
  <c r="J176" i="7" s="1"/>
  <c r="J184" i="7" s="1"/>
  <c r="I49" i="8"/>
  <c r="J49" i="8" s="1"/>
  <c r="I75" i="8"/>
  <c r="J75" i="8" s="1"/>
  <c r="J76" i="8" s="1"/>
  <c r="I74" i="8" s="1"/>
  <c r="M74" i="8" s="1"/>
  <c r="I81" i="8"/>
  <c r="J81" i="8" s="1"/>
  <c r="I129" i="8"/>
  <c r="J129" i="8" s="1"/>
  <c r="I180" i="8"/>
  <c r="J180" i="8" s="1"/>
  <c r="I18" i="9"/>
  <c r="J18" i="9" s="1"/>
  <c r="J19" i="9" s="1"/>
  <c r="I36" i="9"/>
  <c r="J36" i="9" s="1"/>
  <c r="L175" i="7"/>
  <c r="L7" i="6"/>
  <c r="I117" i="8"/>
  <c r="J117" i="8" s="1"/>
  <c r="I50" i="6"/>
  <c r="J50" i="6" s="1"/>
  <c r="I193" i="7"/>
  <c r="J193" i="7" s="1"/>
  <c r="I25" i="6"/>
  <c r="J25" i="6" s="1"/>
  <c r="I183" i="8"/>
  <c r="J183" i="8" s="1"/>
  <c r="I84" i="8"/>
  <c r="J84" i="8" s="1"/>
  <c r="I146" i="7"/>
  <c r="J146" i="7" s="1"/>
  <c r="I36" i="6"/>
  <c r="J36" i="6" s="1"/>
  <c r="I113" i="8"/>
  <c r="J113" i="8" s="1"/>
  <c r="I94" i="8"/>
  <c r="J94" i="8" s="1"/>
  <c r="I50" i="8"/>
  <c r="J50" i="8" s="1"/>
  <c r="I156" i="7"/>
  <c r="J156" i="7" s="1"/>
  <c r="I46" i="6"/>
  <c r="J46" i="6" s="1"/>
  <c r="J96" i="5"/>
  <c r="I10" i="6"/>
  <c r="J10" i="6" s="1"/>
  <c r="I13" i="6"/>
  <c r="J13" i="6" s="1"/>
  <c r="I22" i="6"/>
  <c r="J22" i="6" s="1"/>
  <c r="I32" i="7"/>
  <c r="J32" i="7" s="1"/>
  <c r="I56" i="7"/>
  <c r="J56" i="7" s="1"/>
  <c r="I144" i="7"/>
  <c r="J144" i="7" s="1"/>
  <c r="I178" i="7"/>
  <c r="J178" i="7" s="1"/>
  <c r="I181" i="7"/>
  <c r="J181" i="7" s="1"/>
  <c r="I190" i="7"/>
  <c r="J190" i="7" s="1"/>
  <c r="L79" i="8"/>
  <c r="I115" i="8"/>
  <c r="J115" i="8" s="1"/>
  <c r="I25" i="9"/>
  <c r="J25" i="9" s="1"/>
  <c r="I37" i="9"/>
  <c r="J37" i="9" s="1"/>
  <c r="I52" i="9"/>
  <c r="J52" i="9" s="1"/>
  <c r="J53" i="9" s="1"/>
  <c r="I51" i="9" s="1"/>
  <c r="M51" i="9" s="1"/>
  <c r="H5" i="11"/>
  <c r="I5" i="9"/>
  <c r="I5" i="10"/>
  <c r="I5" i="8"/>
  <c r="I5" i="7"/>
  <c r="H5" i="12"/>
  <c r="I5" i="6"/>
  <c r="I5" i="5"/>
  <c r="K5" i="3"/>
  <c r="H5" i="2"/>
  <c r="M5" i="4"/>
  <c r="I59" i="7"/>
  <c r="J59" i="7" s="1"/>
  <c r="I17" i="8"/>
  <c r="I78" i="7"/>
  <c r="J78" i="7" s="1"/>
  <c r="I37" i="8"/>
  <c r="M37" i="8" s="1"/>
  <c r="I128" i="7"/>
  <c r="J128" i="7" s="1"/>
  <c r="I153" i="8"/>
  <c r="M153" i="8" s="1"/>
  <c r="I161" i="7"/>
  <c r="J161" i="7" s="1"/>
  <c r="I173" i="8"/>
  <c r="M173" i="8" s="1"/>
  <c r="I214" i="8"/>
  <c r="M214" i="8" s="1"/>
  <c r="I12" i="10"/>
  <c r="M12" i="10" s="1"/>
  <c r="J162" i="7"/>
  <c r="I153" i="7" s="1"/>
  <c r="M153" i="7" s="1"/>
  <c r="I47" i="7"/>
  <c r="J47" i="7" s="1"/>
  <c r="I12" i="8"/>
  <c r="M12" i="8" s="1"/>
  <c r="I77" i="7"/>
  <c r="J77" i="7" s="1"/>
  <c r="I85" i="7"/>
  <c r="J85" i="7" s="1"/>
  <c r="I32" i="8"/>
  <c r="M32" i="8" s="1"/>
  <c r="I149" i="7"/>
  <c r="J149" i="7" s="1"/>
  <c r="I168" i="8"/>
  <c r="M168" i="8" s="1"/>
  <c r="I76" i="9"/>
  <c r="M76" i="9" s="1"/>
  <c r="K5" i="11"/>
  <c r="K5" i="9"/>
  <c r="K5" i="10"/>
  <c r="K5" i="8"/>
  <c r="J5" i="12"/>
  <c r="K5" i="6"/>
  <c r="A51" i="5"/>
  <c r="A82" i="5"/>
  <c r="A22" i="5"/>
  <c r="A71" i="5"/>
  <c r="N5" i="3"/>
  <c r="A61" i="5"/>
  <c r="A42" i="5"/>
  <c r="K5" i="5"/>
  <c r="P5" i="4"/>
  <c r="K5" i="2"/>
  <c r="A91" i="5"/>
  <c r="A31" i="5"/>
  <c r="A12" i="5"/>
  <c r="G38" i="4"/>
  <c r="I17" i="3" s="1"/>
  <c r="G32" i="4"/>
  <c r="I15" i="3" s="1"/>
  <c r="G26" i="4"/>
  <c r="I14" i="3" s="1"/>
  <c r="G20" i="4"/>
  <c r="I12" i="3" s="1"/>
  <c r="G14" i="4"/>
  <c r="I10" i="3" s="1"/>
  <c r="G8" i="4"/>
  <c r="I8" i="3" s="1"/>
  <c r="C32" i="4"/>
  <c r="E15" i="3" s="1"/>
  <c r="G23" i="4"/>
  <c r="I13" i="3" s="1"/>
  <c r="C17" i="4"/>
  <c r="E11" i="3" s="1"/>
  <c r="C8" i="4"/>
  <c r="C38" i="4"/>
  <c r="E17" i="3" s="1"/>
  <c r="G29" i="4"/>
  <c r="C23" i="4"/>
  <c r="E13" i="3" s="1"/>
  <c r="C14" i="4"/>
  <c r="E10" i="3" s="1"/>
  <c r="C35" i="4"/>
  <c r="E16" i="3" s="1"/>
  <c r="C26" i="4"/>
  <c r="G17" i="4"/>
  <c r="I11" i="3" s="1"/>
  <c r="C11" i="4"/>
  <c r="E9" i="3" s="1"/>
  <c r="A101" i="5"/>
  <c r="I35" i="7"/>
  <c r="J35" i="7" s="1"/>
  <c r="I7" i="8"/>
  <c r="M7" i="8" s="1"/>
  <c r="I84" i="7"/>
  <c r="J84" i="7" s="1"/>
  <c r="I27" i="8"/>
  <c r="M27" i="8" s="1"/>
  <c r="I135" i="8"/>
  <c r="J135" i="8" s="1"/>
  <c r="I56" i="9"/>
  <c r="M56" i="9" s="1"/>
  <c r="G35" i="4"/>
  <c r="I196" i="8"/>
  <c r="M196" i="8" s="1"/>
  <c r="I30" i="9"/>
  <c r="J30" i="9" s="1"/>
  <c r="I7" i="10"/>
  <c r="M7" i="10" s="1"/>
  <c r="G11" i="4"/>
  <c r="I9" i="3" s="1"/>
  <c r="D7" i="3"/>
  <c r="B7" i="2" s="1"/>
  <c r="D10" i="3"/>
  <c r="D11" i="3"/>
  <c r="D12" i="3"/>
  <c r="E14" i="3"/>
  <c r="I16" i="3"/>
  <c r="I39" i="6"/>
  <c r="J39" i="6" s="1"/>
  <c r="J40" i="6" s="1"/>
  <c r="J17" i="3"/>
  <c r="D16" i="3"/>
  <c r="J14" i="3"/>
  <c r="D13" i="3"/>
  <c r="E12" i="3"/>
  <c r="J10" i="3"/>
  <c r="D9" i="3"/>
  <c r="E8" i="3"/>
  <c r="I195" i="7"/>
  <c r="J195" i="7" s="1"/>
  <c r="I143" i="8"/>
  <c r="J143" i="8" s="1"/>
  <c r="J8" i="3"/>
  <c r="J9" i="3"/>
  <c r="D14" i="3"/>
  <c r="D15" i="3"/>
  <c r="I76" i="7"/>
  <c r="J76" i="7" s="1"/>
  <c r="I94" i="7"/>
  <c r="J94" i="7" s="1"/>
  <c r="I101" i="7"/>
  <c r="J101" i="7" s="1"/>
  <c r="I130" i="7"/>
  <c r="J130" i="7" s="1"/>
  <c r="I137" i="7"/>
  <c r="J137" i="7" s="1"/>
  <c r="I170" i="7"/>
  <c r="J170" i="7" s="1"/>
  <c r="I79" i="7"/>
  <c r="J79" i="7" s="1"/>
  <c r="I93" i="7"/>
  <c r="J93" i="7" s="1"/>
  <c r="I100" i="7"/>
  <c r="J100" i="7" s="1"/>
  <c r="I169" i="7"/>
  <c r="J169" i="7" s="1"/>
  <c r="I55" i="8"/>
  <c r="J55" i="8" s="1"/>
  <c r="I130" i="8"/>
  <c r="J130" i="8" s="1"/>
  <c r="I137" i="8"/>
  <c r="J137" i="8" s="1"/>
  <c r="I144" i="8"/>
  <c r="J144" i="8" s="1"/>
  <c r="I118" i="8"/>
  <c r="J118" i="8" s="1"/>
  <c r="I136" i="8"/>
  <c r="J136" i="8" s="1"/>
  <c r="I175" i="7" l="1"/>
  <c r="M175" i="7" s="1"/>
  <c r="I97" i="6"/>
  <c r="J97" i="6" s="1"/>
  <c r="I129" i="7"/>
  <c r="J129" i="7" s="1"/>
  <c r="J196" i="7"/>
  <c r="I98" i="6" s="1"/>
  <c r="J98" i="6" s="1"/>
  <c r="J36" i="7"/>
  <c r="J88" i="8"/>
  <c r="J131" i="8"/>
  <c r="I119" i="7" s="1"/>
  <c r="J119" i="7" s="1"/>
  <c r="I15" i="6"/>
  <c r="J15" i="6" s="1"/>
  <c r="J16" i="6" s="1"/>
  <c r="J150" i="7"/>
  <c r="J60" i="7"/>
  <c r="I74" i="6" s="1"/>
  <c r="J74" i="6" s="1"/>
  <c r="J48" i="7"/>
  <c r="I39" i="7" s="1"/>
  <c r="M39" i="7" s="1"/>
  <c r="M22" i="8"/>
  <c r="I79" i="8"/>
  <c r="M79" i="8" s="1"/>
  <c r="I108" i="7"/>
  <c r="J108" i="7" s="1"/>
  <c r="I122" i="8"/>
  <c r="M122" i="8" s="1"/>
  <c r="I141" i="7"/>
  <c r="M141" i="7" s="1"/>
  <c r="I88" i="6"/>
  <c r="J88" i="6" s="1"/>
  <c r="J119" i="8"/>
  <c r="I89" i="6"/>
  <c r="J89" i="6" s="1"/>
  <c r="I167" i="7"/>
  <c r="J167" i="7" s="1"/>
  <c r="I190" i="8"/>
  <c r="M190" i="8" s="1"/>
  <c r="M22" i="7"/>
  <c r="I136" i="7"/>
  <c r="J136" i="7" s="1"/>
  <c r="I51" i="6"/>
  <c r="J51" i="6" s="1"/>
  <c r="J52" i="6" s="1"/>
  <c r="I43" i="6" s="1"/>
  <c r="M43" i="6" s="1"/>
  <c r="I71" i="7"/>
  <c r="J71" i="7" s="1"/>
  <c r="J72" i="7" s="1"/>
  <c r="I82" i="6" s="1"/>
  <c r="J82" i="6" s="1"/>
  <c r="J83" i="6" s="1"/>
  <c r="J43" i="9"/>
  <c r="M17" i="8"/>
  <c r="J56" i="8"/>
  <c r="I135" i="7" s="1"/>
  <c r="J135" i="7" s="1"/>
  <c r="J138" i="7" s="1"/>
  <c r="I148" i="8"/>
  <c r="M148" i="8" s="1"/>
  <c r="I27" i="6"/>
  <c r="J27" i="6" s="1"/>
  <c r="J28" i="6" s="1"/>
  <c r="I12" i="7"/>
  <c r="M12" i="7" s="1"/>
  <c r="M12" i="9"/>
  <c r="I138" i="8"/>
  <c r="J138" i="8" s="1"/>
  <c r="I71" i="9"/>
  <c r="M71" i="9" s="1"/>
  <c r="J31" i="9"/>
  <c r="I22" i="9" s="1"/>
  <c r="M22" i="9" s="1"/>
  <c r="J86" i="7"/>
  <c r="I83" i="7" s="1"/>
  <c r="M83" i="7" s="1"/>
  <c r="I99" i="8"/>
  <c r="J99" i="8" s="1"/>
  <c r="J100" i="8" s="1"/>
  <c r="I109" i="7" s="1"/>
  <c r="J109" i="7" s="1"/>
  <c r="I17" i="9"/>
  <c r="M17" i="9" s="1"/>
  <c r="M46" i="9"/>
  <c r="I63" i="7"/>
  <c r="M63" i="7" s="1"/>
  <c r="I27" i="7"/>
  <c r="M27" i="7" s="1"/>
  <c r="I59" i="6"/>
  <c r="J59" i="6" s="1"/>
  <c r="I61" i="6"/>
  <c r="J61" i="6" s="1"/>
  <c r="I51" i="7"/>
  <c r="M51" i="7" s="1"/>
  <c r="I31" i="6"/>
  <c r="M31" i="6" s="1"/>
  <c r="I37" i="5"/>
  <c r="J37" i="5" s="1"/>
  <c r="I110" i="8"/>
  <c r="M110" i="8" s="1"/>
  <c r="I118" i="7"/>
  <c r="J118" i="7" s="1"/>
  <c r="I47" i="8"/>
  <c r="M47" i="8" s="1"/>
  <c r="I105" i="8"/>
  <c r="J105" i="8" s="1"/>
  <c r="I178" i="8"/>
  <c r="M178" i="8" s="1"/>
  <c r="I166" i="7"/>
  <c r="J166" i="7" s="1"/>
  <c r="I106" i="8"/>
  <c r="J106" i="8" s="1"/>
  <c r="I34" i="9"/>
  <c r="M34" i="9" s="1"/>
  <c r="J145" i="8"/>
  <c r="J139" i="8"/>
  <c r="I58" i="5"/>
  <c r="J58" i="5" s="1"/>
  <c r="I29" i="5"/>
  <c r="J29" i="5" s="1"/>
  <c r="I10" i="5"/>
  <c r="J10" i="5" s="1"/>
  <c r="I69" i="5"/>
  <c r="J69" i="5" s="1"/>
  <c r="I20" i="5"/>
  <c r="J20" i="5" s="1"/>
  <c r="I19" i="6"/>
  <c r="M19" i="6" s="1"/>
  <c r="J80" i="7"/>
  <c r="I9" i="5" l="1"/>
  <c r="J9" i="5" s="1"/>
  <c r="I57" i="5"/>
  <c r="J57" i="5" s="1"/>
  <c r="I98" i="5"/>
  <c r="J98" i="5" s="1"/>
  <c r="I28" i="5"/>
  <c r="J28" i="5" s="1"/>
  <c r="I68" i="5"/>
  <c r="J68" i="5" s="1"/>
  <c r="I88" i="5"/>
  <c r="J88" i="5" s="1"/>
  <c r="I19" i="5"/>
  <c r="J19" i="5" s="1"/>
  <c r="J21" i="5" s="1"/>
  <c r="J22" i="5" s="1"/>
  <c r="J23" i="5" s="1"/>
  <c r="K9" i="3" s="1"/>
  <c r="M9" i="3" s="1"/>
  <c r="I7" i="6"/>
  <c r="M7" i="6" s="1"/>
  <c r="I79" i="5"/>
  <c r="J79" i="5" s="1"/>
  <c r="J172" i="7"/>
  <c r="I60" i="6"/>
  <c r="J60" i="6" s="1"/>
  <c r="I64" i="6"/>
  <c r="J64" i="6" s="1"/>
  <c r="I187" i="7"/>
  <c r="M187" i="7" s="1"/>
  <c r="I38" i="5"/>
  <c r="J38" i="5" s="1"/>
  <c r="I126" i="7"/>
  <c r="J126" i="7" s="1"/>
  <c r="J131" i="7" s="1"/>
  <c r="I76" i="6" s="1"/>
  <c r="J76" i="6" s="1"/>
  <c r="J90" i="6"/>
  <c r="I99" i="7"/>
  <c r="J99" i="7" s="1"/>
  <c r="J102" i="7" s="1"/>
  <c r="I49" i="5"/>
  <c r="J49" i="5" s="1"/>
  <c r="I62" i="6"/>
  <c r="J62" i="6" s="1"/>
  <c r="J107" i="8"/>
  <c r="I103" i="8" s="1"/>
  <c r="M103" i="8" s="1"/>
  <c r="I91" i="8"/>
  <c r="M91" i="8" s="1"/>
  <c r="I75" i="6"/>
  <c r="J75" i="6" s="1"/>
  <c r="I90" i="7"/>
  <c r="J90" i="7" s="1"/>
  <c r="J95" i="7" s="1"/>
  <c r="I89" i="7" s="1"/>
  <c r="M89" i="7" s="1"/>
  <c r="I99" i="5"/>
  <c r="J99" i="5" s="1"/>
  <c r="I80" i="5"/>
  <c r="J80" i="5" s="1"/>
  <c r="I89" i="5"/>
  <c r="J89" i="5" s="1"/>
  <c r="J90" i="5" s="1"/>
  <c r="I110" i="7"/>
  <c r="J110" i="7" s="1"/>
  <c r="J111" i="7" s="1"/>
  <c r="I75" i="7"/>
  <c r="M75" i="7" s="1"/>
  <c r="I63" i="6"/>
  <c r="J63" i="6" s="1"/>
  <c r="J30" i="5"/>
  <c r="I134" i="7"/>
  <c r="M134" i="7" s="1"/>
  <c r="I77" i="6"/>
  <c r="J77" i="6" s="1"/>
  <c r="J70" i="5"/>
  <c r="I165" i="7"/>
  <c r="M165" i="7" s="1"/>
  <c r="I96" i="6"/>
  <c r="J96" i="6" s="1"/>
  <c r="J99" i="6" s="1"/>
  <c r="I120" i="7"/>
  <c r="J120" i="7" s="1"/>
  <c r="I134" i="8"/>
  <c r="M134" i="8" s="1"/>
  <c r="I125" i="7"/>
  <c r="M125" i="7" s="1"/>
  <c r="I81" i="6"/>
  <c r="M81" i="6" s="1"/>
  <c r="I48" i="5"/>
  <c r="J48" i="5" s="1"/>
  <c r="I121" i="7"/>
  <c r="J121" i="7" s="1"/>
  <c r="I142" i="8"/>
  <c r="M142" i="8" s="1"/>
  <c r="J11" i="5"/>
  <c r="I98" i="7"/>
  <c r="M98" i="7" s="1"/>
  <c r="I66" i="6"/>
  <c r="J66" i="6" s="1"/>
  <c r="I86" i="6" l="1"/>
  <c r="M86" i="6" s="1"/>
  <c r="I59" i="5"/>
  <c r="J59" i="5" s="1"/>
  <c r="J60" i="5" s="1"/>
  <c r="I16" i="5"/>
  <c r="M16" i="5" s="1"/>
  <c r="I65" i="6"/>
  <c r="J65" i="6" s="1"/>
  <c r="J100" i="5"/>
  <c r="J101" i="5" s="1"/>
  <c r="J102" i="5" s="1"/>
  <c r="K17" i="3" s="1"/>
  <c r="M17" i="3" s="1"/>
  <c r="J91" i="5"/>
  <c r="J92" i="5" s="1"/>
  <c r="K15" i="3" s="1"/>
  <c r="M15" i="3" s="1"/>
  <c r="I86" i="5"/>
  <c r="M86" i="5" s="1"/>
  <c r="I95" i="5"/>
  <c r="M95" i="5" s="1"/>
  <c r="J78" i="6"/>
  <c r="J50" i="5"/>
  <c r="J51" i="5" s="1"/>
  <c r="J52" i="5" s="1"/>
  <c r="K12" i="3" s="1"/>
  <c r="M12" i="3" s="1"/>
  <c r="J122" i="7"/>
  <c r="I114" i="7" s="1"/>
  <c r="M114" i="7" s="1"/>
  <c r="I72" i="6"/>
  <c r="M72" i="6" s="1"/>
  <c r="I40" i="5"/>
  <c r="J40" i="5" s="1"/>
  <c r="J71" i="5"/>
  <c r="I65" i="5"/>
  <c r="M65" i="5" s="1"/>
  <c r="J72" i="5"/>
  <c r="K14" i="3" s="1"/>
  <c r="M14" i="3" s="1"/>
  <c r="I105" i="7"/>
  <c r="M105" i="7" s="1"/>
  <c r="I67" i="6"/>
  <c r="J67" i="6" s="1"/>
  <c r="I26" i="5"/>
  <c r="M26" i="5" s="1"/>
  <c r="J31" i="5"/>
  <c r="J32" i="5" s="1"/>
  <c r="K10" i="3" s="1"/>
  <c r="M10" i="3" s="1"/>
  <c r="I93" i="6"/>
  <c r="M93" i="6" s="1"/>
  <c r="I78" i="5"/>
  <c r="J78" i="5" s="1"/>
  <c r="J81" i="5" s="1"/>
  <c r="I46" i="5"/>
  <c r="J12" i="5"/>
  <c r="J13" i="5" s="1"/>
  <c r="K8" i="3" s="1"/>
  <c r="M8" i="3" s="1"/>
  <c r="I7" i="5"/>
  <c r="I55" i="5" l="1"/>
  <c r="M55" i="5" s="1"/>
  <c r="J61" i="5"/>
  <c r="J62" i="5" s="1"/>
  <c r="K13" i="3" s="1"/>
  <c r="M13" i="3" s="1"/>
  <c r="I68" i="6"/>
  <c r="J68" i="6" s="1"/>
  <c r="J69" i="6" s="1"/>
  <c r="J82" i="5"/>
  <c r="J83" i="5"/>
  <c r="I75" i="5"/>
  <c r="K16" i="3" l="1"/>
  <c r="M16" i="3" s="1"/>
  <c r="I39" i="5"/>
  <c r="J39" i="5" s="1"/>
  <c r="J41" i="5" s="1"/>
  <c r="I55" i="6"/>
  <c r="M55" i="6" s="1"/>
  <c r="J42" i="5" l="1"/>
  <c r="J43" i="5" s="1"/>
  <c r="K11" i="3" s="1"/>
  <c r="M11" i="3" s="1"/>
  <c r="M7" i="3" s="1"/>
  <c r="J7" i="2" s="1"/>
  <c r="I35" i="5"/>
  <c r="M35" i="5" s="1"/>
  <c r="M19" i="3" l="1"/>
  <c r="J8" i="2" l="1"/>
  <c r="J7" i="1" s="1"/>
  <c r="L7" i="1" s="1"/>
  <c r="K7" i="2" l="1"/>
  <c r="K8" i="2" s="1"/>
</calcChain>
</file>

<file path=xl/sharedStrings.xml><?xml version="1.0" encoding="utf-8"?>
<sst xmlns="http://schemas.openxmlformats.org/spreadsheetml/2006/main" count="1702" uniqueCount="417">
  <si>
    <t>MUNICÍPIO DE FLORESTA DO PIAUI - PI</t>
  </si>
  <si>
    <t>INSTALAÇÕES ELÉTRICAS DE ILUMINAÇÃO DE PASSARELA DE  U E WILSON NUNES MARTINS FILHO</t>
  </si>
  <si>
    <t>DADOS DA OBRA</t>
  </si>
  <si>
    <t>DATA BASE:</t>
  </si>
  <si>
    <t xml:space="preserve">SINAPI PI-02/2021, SEINFRA 27, ORSE-01/2021, </t>
  </si>
  <si>
    <t>COM DESONERAÇÃO</t>
  </si>
  <si>
    <t>LEIS SOCIAIS (%):</t>
  </si>
  <si>
    <t>BDI (%):</t>
  </si>
  <si>
    <t>DESCRIÇÃO</t>
  </si>
  <si>
    <t>RECURSO (R$)</t>
  </si>
  <si>
    <t>TOTAL (R$)</t>
  </si>
  <si>
    <t>(Diferença)</t>
  </si>
  <si>
    <t/>
  </si>
  <si>
    <t>ENDEREÇO</t>
  </si>
  <si>
    <t>RUA MARTINS FRANCISCO DE LIMA</t>
  </si>
  <si>
    <t>OBSERVAÇÕES IMPORTANTES</t>
  </si>
  <si>
    <t>OBS-1: Conforme metodologia de cálculo da Caixa Econômica Federal, foi utilizado arredondamento normal para duas casa decimais em todos os cálculos, exceto para o cálculo do valor total de cada item das composições de custos, no qual foi utilizado arredondamento truncado até a segunda casa decimal. Visto que a metodologia de cálculo das tabelas SEINFRA e ORSE utilizam arredondamentos diferentes, suas composições foram compatibilizadas com o mesmo arredondamento utilizado pela tabela SINAPI, assim, é expressamente recomendável que os preços calculados sejam revisados na planilha de composições, quando esta for gerada.</t>
  </si>
  <si>
    <t>OBS-2: As composições com mão-de-obra e insumos separados apresentam uma precisão de cálculo maior que as composições normais, podendo apresentar o resultado do valor total do serviço divergente da tabela de origem, sendo aconselhável a revisão da planilha de composições quando selecionada a opção de mão-de-obra e insumos separados e da curva ABC de Insumos.</t>
  </si>
  <si>
    <t>OBS-3: Todas as composições de preços da tabela ORSE foram compatibilizadas nos seguintes quesitos:
1 - O ORSE divulga dois formatos de composições para cada serviço, sendo uma analítica e uma no formtato de lista de materiais, calculando a partir desta última o preço final de cada serviço. Visto que a tabela SINAPI, da Caixa Econômica Federal divulga as composições de serviços na forma analítica, apenas, optou-se pela utilização das composições da tabela ORSE também na forma analítica, mesmo que o cálculo do custo dos serviços sejam diferentes das tabelas publicadas;
2 - O ORSE divulga apenas os preços para o estado de Sergipe e SEM DESONERAÇÃO da folha, assim, todas as composições foram compatibilizadas nos preços de serviços e insumos com origem na tabela SINAPI, conforme a opção do estado e desoneração da folha, selecionados pelo usuários nos dados da Obra;
Ressaltamos que os preços das tabelas, de serviços e insumos, publicadas pelo ORSE não serão alterados, sendo alterados apenas os preços de serviços e insumos dentro de suas composições, dos itens com origem na tabela SINAPI, permanecendo inalterados os itens, de insumo ou composição, com origem na tabela ORSE. Esta metodologia foi adotada ao entender que os custos, numa mesma planilha orçamentária, não devem apresentar divergências numa mesma classe de serviços ou insumos. Assim, para o bom entendimento do profissional orçamentista, é expressamente recomendável que os preços calculados sejam revisados na planilha de composições, quando esta for gerada.</t>
  </si>
  <si>
    <t>PLANILHA RESUMO</t>
  </si>
  <si>
    <t>ITEM</t>
  </si>
  <si>
    <t>TOTAL (%)</t>
  </si>
  <si>
    <t>TOTAL</t>
  </si>
  <si>
    <t>PLANILHA ORÇAMENTÁRIA</t>
  </si>
  <si>
    <t>CÓDIGO</t>
  </si>
  <si>
    <t>UNID</t>
  </si>
  <si>
    <t>QUANT</t>
  </si>
  <si>
    <t>P. UNIT. C/BDI</t>
  </si>
  <si>
    <t>1.1</t>
  </si>
  <si>
    <t>1.2</t>
  </si>
  <si>
    <t>1.3</t>
  </si>
  <si>
    <t>1.4</t>
  </si>
  <si>
    <t>1.5</t>
  </si>
  <si>
    <t>1.6</t>
  </si>
  <si>
    <t>1.7</t>
  </si>
  <si>
    <t>1.8</t>
  </si>
  <si>
    <t>1.9</t>
  </si>
  <si>
    <t>1.10</t>
  </si>
  <si>
    <t>1.11</t>
  </si>
  <si>
    <t>MEMÓRIA DE CÁLCULO</t>
  </si>
  <si>
    <t>COEF</t>
  </si>
  <si>
    <t>COMP (m)</t>
  </si>
  <si>
    <t>LARG (m)</t>
  </si>
  <si>
    <t>ALT (m)</t>
  </si>
  <si>
    <t>ÁREA (m2)</t>
  </si>
  <si>
    <t>VOL (m3)</t>
  </si>
  <si>
    <t>PARCIAL</t>
  </si>
  <si>
    <t>INSTALAÇÕES ELÉTRICAS DE ILUMINAÇÃO DE PASSARELA DE U E WILSON NUNES MARTINS FILHO</t>
  </si>
  <si>
    <t>COMP 2</t>
  </si>
  <si>
    <t>1.1.1</t>
  </si>
  <si>
    <t>1.2.1</t>
  </si>
  <si>
    <t>1.3.1</t>
  </si>
  <si>
    <t>1.4.1</t>
  </si>
  <si>
    <t>COMP 48</t>
  </si>
  <si>
    <t>1.5.1</t>
  </si>
  <si>
    <t>1.6.1</t>
  </si>
  <si>
    <t>1.7.1</t>
  </si>
  <si>
    <t>Comp 213</t>
  </si>
  <si>
    <t>1.8.1</t>
  </si>
  <si>
    <t>1.9.1</t>
  </si>
  <si>
    <t>1.10.1</t>
  </si>
  <si>
    <t>1.11.1</t>
  </si>
  <si>
    <t>PLANILHA DE COMPOSIÇÕES ANALÍTICAS</t>
  </si>
  <si>
    <t>CLASSE/TIPO</t>
  </si>
  <si>
    <t>COEFICIENTE</t>
  </si>
  <si>
    <t>PREÇO UNIT</t>
  </si>
  <si>
    <t>INEL</t>
  </si>
  <si>
    <t xml:space="preserve">BUCHA E ARRUELA DE AÇO GALV. D= 20MM (3/4") </t>
  </si>
  <si>
    <t>CJ</t>
  </si>
  <si>
    <t>Composição do usuário.</t>
  </si>
  <si>
    <t>INSUMO</t>
  </si>
  <si>
    <t>COMPOSICAO</t>
  </si>
  <si>
    <t>CUSTO DIRETO TOTAL</t>
  </si>
  <si>
    <t>TOTAL - COMP 2</t>
  </si>
  <si>
    <t>TOTAL - 91926</t>
  </si>
  <si>
    <t>TOTAL - 91902</t>
  </si>
  <si>
    <t>TOTAL - 97881</t>
  </si>
  <si>
    <t xml:space="preserve">ELETRODUTO PVC FLEXIVEL CORRUGADO, REFORCADO, COR LARANJA, DE 25 MM, PARA LAJES E PISOS  , FORNECIMENTO E INSTALAÇÃO </t>
  </si>
  <si>
    <t>UN</t>
  </si>
  <si>
    <t>TOTAL - COMP 48</t>
  </si>
  <si>
    <t>TOTAL - 95727</t>
  </si>
  <si>
    <t>TOTAL - 93654</t>
  </si>
  <si>
    <t xml:space="preserve">POSTE CONICO CONTINUO EM ACO GALVANIZADO, RETO, FLANGEADO, H = 3 M, DIAMETRO INFERIOR = *95* MM COM INSTALAÇÃO DE LUMINARIA TIPO PÉTALA DE  2 X 50 W FORNECIMENTO E INSTALAÇÃO </t>
  </si>
  <si>
    <t>TOTAL - Comp 213</t>
  </si>
  <si>
    <t>TOTAL - 91875</t>
  </si>
  <si>
    <t>TOTAL - 101632</t>
  </si>
  <si>
    <t>PLANILHA DE COMPOSIÇÕES ANALÍTICAS AUXILIARES - NÍVEL 1</t>
  </si>
  <si>
    <t>SEDI</t>
  </si>
  <si>
    <t>TOTAL - 88247</t>
  </si>
  <si>
    <t>TOTAL - 88264</t>
  </si>
  <si>
    <t>TOTAL - 88309</t>
  </si>
  <si>
    <t>TOTAL - 88316</t>
  </si>
  <si>
    <t>FUES</t>
  </si>
  <si>
    <t>TOTAL - 97733</t>
  </si>
  <si>
    <t>MOVT</t>
  </si>
  <si>
    <t>TOTAL - 101619</t>
  </si>
  <si>
    <t>TOTAL - 93358</t>
  </si>
  <si>
    <t>INHI</t>
  </si>
  <si>
    <t>TOTAL - 91170</t>
  </si>
  <si>
    <t>TOTAL - 101654</t>
  </si>
  <si>
    <t>PLANILHA DE COMPOSIÇÕES ANALÍTICAS AUXILIARES - NÍVEL 2</t>
  </si>
  <si>
    <t>TOTAL - 95316</t>
  </si>
  <si>
    <t>TOTAL - 95332</t>
  </si>
  <si>
    <t>TOTAL - 95371</t>
  </si>
  <si>
    <t>TOTAL - 95378</t>
  </si>
  <si>
    <t>TOTAL - 88239</t>
  </si>
  <si>
    <t>TOTAL - 88261</t>
  </si>
  <si>
    <t>CHOR</t>
  </si>
  <si>
    <t>TOTAL - 90586</t>
  </si>
  <si>
    <t>TOTAL - 90587</t>
  </si>
  <si>
    <t>TOTAL - 91692</t>
  </si>
  <si>
    <t>TOTAL - 91693</t>
  </si>
  <si>
    <t>TOTAL - 92783</t>
  </si>
  <si>
    <t>TOTAL - 94971</t>
  </si>
  <si>
    <t>TOTAL - 91533</t>
  </si>
  <si>
    <t>TOTAL - 91534</t>
  </si>
  <si>
    <t>TOTAL - 88248</t>
  </si>
  <si>
    <t>TOTAL - 88267</t>
  </si>
  <si>
    <t>TOTAL - 5928</t>
  </si>
  <si>
    <t>PLANILHA DE COMPOSIÇÕES ANALÍTICAS AUXILIARES - NÍVEL 3</t>
  </si>
  <si>
    <t>TOTAL - 95309</t>
  </si>
  <si>
    <t>TOTAL - 95329</t>
  </si>
  <si>
    <t>TOTAL - 90582</t>
  </si>
  <si>
    <t>TOTAL - 90583</t>
  </si>
  <si>
    <t>TOTAL - 90584</t>
  </si>
  <si>
    <t>TOTAL - 90585</t>
  </si>
  <si>
    <t>TOTAL - 88297</t>
  </si>
  <si>
    <t>TOTAL - 91688</t>
  </si>
  <si>
    <t>TOTAL - 91689</t>
  </si>
  <si>
    <t>TOTAL - 91690</t>
  </si>
  <si>
    <t>TOTAL - 91691</t>
  </si>
  <si>
    <t>TOTAL - 88238</t>
  </si>
  <si>
    <t>TOTAL - 88245</t>
  </si>
  <si>
    <t>TOTAL - 92799</t>
  </si>
  <si>
    <t>TOTAL - 88377</t>
  </si>
  <si>
    <t>TOTAL - 89225</t>
  </si>
  <si>
    <t>TOTAL - 89226</t>
  </si>
  <si>
    <t>TOTAL - 91529</t>
  </si>
  <si>
    <t>TOTAL - 91530</t>
  </si>
  <si>
    <t>TOTAL - 91531</t>
  </si>
  <si>
    <t>TOTAL - 91532</t>
  </si>
  <si>
    <t>TOTAL - 95317</t>
  </si>
  <si>
    <t>TOTAL - 95335</t>
  </si>
  <si>
    <t>TOTAL - 88286</t>
  </si>
  <si>
    <t>TOTAL - 89259</t>
  </si>
  <si>
    <t>TOTAL - 89260</t>
  </si>
  <si>
    <t>TOTAL - 89262</t>
  </si>
  <si>
    <t>TOTAL - 91466</t>
  </si>
  <si>
    <t>TOTAL - 91467</t>
  </si>
  <si>
    <t>PLANILHA DE COMPOSIÇÕES ANALÍTICAS AUXILIARES - NÍVEL 4</t>
  </si>
  <si>
    <t>TOTAL - 95360</t>
  </si>
  <si>
    <t>TOTAL - 95308</t>
  </si>
  <si>
    <t>TOTAL - 95314</t>
  </si>
  <si>
    <t>TOTAL - 95389</t>
  </si>
  <si>
    <t>TOTAL - 89221</t>
  </si>
  <si>
    <t>TOTAL - 89222</t>
  </si>
  <si>
    <t>TOTAL - 89223</t>
  </si>
  <si>
    <t>TOTAL - 89224</t>
  </si>
  <si>
    <t>TOTAL - 95351</t>
  </si>
  <si>
    <t>PLANILHA DE COMPOSIÇÕES ANALÍTICAS AUXILIARES - NÍVEL 5</t>
  </si>
  <si>
    <t>COMPOSIÇÃO DA TAXA DE BDI</t>
  </si>
  <si>
    <t>Limites p/Edificações</t>
  </si>
  <si>
    <t>AC</t>
  </si>
  <si>
    <t>ADMINISTRAÇÃO CENTRAL</t>
  </si>
  <si>
    <t>3,0 a 5,5%</t>
  </si>
  <si>
    <t>SG</t>
  </si>
  <si>
    <t>SEGURO E GARANTIA</t>
  </si>
  <si>
    <t>0,8 a 1,0%</t>
  </si>
  <si>
    <t>R</t>
  </si>
  <si>
    <t>RISCOS</t>
  </si>
  <si>
    <t>0,97 a 1,27%</t>
  </si>
  <si>
    <t>DF</t>
  </si>
  <si>
    <t>DESPESA FINANCEIRA</t>
  </si>
  <si>
    <t>0,59 a 1,39%</t>
  </si>
  <si>
    <t>L</t>
  </si>
  <si>
    <t>LUCRO</t>
  </si>
  <si>
    <t>6,16 a 8,96%</t>
  </si>
  <si>
    <t>I</t>
  </si>
  <si>
    <t>TRIBUTOS E IMPOSTOS</t>
  </si>
  <si>
    <t>-</t>
  </si>
  <si>
    <t>PIS</t>
  </si>
  <si>
    <t>PROGRAMA DE INTEGRAÇÃO SOCIAL</t>
  </si>
  <si>
    <t>COFINS</t>
  </si>
  <si>
    <t>CONSTRIBUIÇÃO SOCIAL PARA FINANCIAMENTO DA SEGURIDADE SOCIAL</t>
  </si>
  <si>
    <t>ISS</t>
  </si>
  <si>
    <t>2,0 a 5,0%</t>
  </si>
  <si>
    <t>% ISS do município (sugerido):</t>
  </si>
  <si>
    <t>CPRB</t>
  </si>
  <si>
    <t>CONTRIBUIÇÃO PREVIDENCIÁRIA SOBRE A RECEITA BRUTA</t>
  </si>
  <si>
    <t>% de mão de obra (sugerido):</t>
  </si>
  <si>
    <t>BDI</t>
  </si>
  <si>
    <t>TAXA DE BENEFÍCIOS E DESPESAS INDIRETAS</t>
  </si>
  <si>
    <t>20,34 a 25,0% (sem CPRB)</t>
  </si>
  <si>
    <t>BDI   =   {   [   (   1   +   AC   +   SG   +   R   )   x   (   1   +   DF   )   x   (   1   +   L   )   ]   /   [   1   -   (   PIS   +   COFINS   +   ISS   +   CPRB   )   ]   }   -   1</t>
  </si>
  <si>
    <t>Cálculo em conformidade com o acórdão nº 2622/2013-TCU e Lei nº 13.161 de 31 de agosto de 2015.</t>
  </si>
  <si>
    <t>OBSERVAÇÕES</t>
  </si>
  <si>
    <t>a) Os percentuais de Impostos a serem adotados devem ser indicados pelo Tomador, conforme legislação vigente. Deverão ser definidos pelo Tomador, conforme Código Tributário do município, o valor do ISS, que será um percentual entre 2% e 5%, e a alíquota aplicada sobre o mesmo, representando o percentual de mão de obra em relação ao valor total da obra.</t>
  </si>
  <si>
    <t>b) Para análise de orçamentos considerando a desoneração sobre a folha de pagamento, prevista na lei nº 12.844/2013, deverá ser adotada uma alíquota de 4,5% sobre a contribuição previenciária sobre a receita bruta. Quando a opção orçamentária não considerar a desoneração da folha de pagamento, deverá ser adotada uma alíquota de 0% no referido item.</t>
  </si>
  <si>
    <t>c) Para o tipo de obra “Construção de Edifícios”, enquadram-se:  a construção de edifícios residenciais de qualquer tipo; casas e residências unifamiliares; edifícios residenciais multifamiliares, incluindo edifícios de grande altura (arranha-céus); a construção de edifícios comerciais de qualquer tipo; consultórios e clínicas médicas; escolas; escritórios comerciais; hospitais; hotéis, motéis e outros tipos de alojamento; lojas, galerias e centros comerciais; restaurantes e outros estabelecimentos similares; shopping centers; a construção de edifícios destinados a outros usos específicos; armazéns e depósitos; edifícios garagem, inclusive garagens subterrâneas; edifícios para uso agropecuário; estações para trens e metropolitanos; estádios esportivos e quadras cobertas; igrejas e outras construções para fins religiosos (templos); instalações para embarque e desembarque de passageiros (em aeroportos, rodoviárias, portos, etc.); penitenciárias e presídios; postos de combustível; a construção de edifícios industriais (fábricas, oficinas, galpões industriais, etc.); as reformas, manutenções correntes, complementações e alterações de edifícios de qualquer natureza já existentes; a montagem de edifícios e casas pré-moldadas ou pré-fabricadas de qualquer material, de natureza permanente ou temporária, quando não realizadas pelo próprio fabricante, conforme classificação 4120-4/00 do CNAE.</t>
  </si>
  <si>
    <t>PLANILHA DE ENCARGOS SOCIAIS</t>
  </si>
  <si>
    <t>SEM DESONERAÇÃO</t>
  </si>
  <si>
    <t>HORISTA</t>
  </si>
  <si>
    <t>MENSALISTA</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</si>
  <si>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</si>
  <si>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</si>
  <si>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</si>
  <si>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</si>
  <si>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</si>
  <si>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</si>
  <si>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</si>
  <si>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</si>
  <si>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</si>
  <si>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</si>
  <si>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</si>
  <si>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</si>
  <si>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</si>
  <si>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</si>
  <si>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</si>
  <si>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</si>
  <si>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</si>
  <si>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</si>
  <si>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</si>
  <si>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</si>
  <si>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GRUPO B</t>
  </si>
  <si>
    <t>B1</t>
  </si>
  <si>
    <t>REPOUSO SEMANAL REMUNERADO</t>
  </si>
  <si>
    <t>Não Incide</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</si>
  <si>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</si>
  <si>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</si>
  <si>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</si>
  <si>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</si>
  <si>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</si>
  <si>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</si>
  <si>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</si>
  <si>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</si>
  <si>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</si>
  <si>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</si>
  <si>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</si>
  <si>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</si>
  <si>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</si>
  <si>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</si>
  <si>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</si>
  <si>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</si>
  <si>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</si>
  <si>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</si>
  <si>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B</t>
  </si>
  <si>
    <t>GRUPO C</t>
  </si>
  <si>
    <t>C1</t>
  </si>
  <si>
    <t>AVISO PRÉVIO INDENIZADO</t>
  </si>
  <si>
    <t>C2</t>
  </si>
  <si>
    <t>AVISO PRÉVIO TRABALHADO</t>
  </si>
  <si>
    <t>C3</t>
  </si>
  <si>
    <t>FÉRIAS INDENIZADAS</t>
  </si>
  <si>
    <t>C4</t>
  </si>
  <si>
    <t>DEPÓSITO RESCISÃO SEM JUSTA CAUSA</t>
  </si>
  <si>
    <t>C5</t>
  </si>
  <si>
    <t>INDENIZAÇÃO ADICIONAL</t>
  </si>
  <si>
    <t>C</t>
  </si>
  <si>
    <t>GRUPO D</t>
  </si>
  <si>
    <t>D1</t>
  </si>
  <si>
    <t>REINCIDÊNCIA DE GRUPO A SOBRE GRUPO B</t>
  </si>
  <si>
    <t>D2</t>
  </si>
  <si>
    <t>REINCIDÊNCIA DE GRUPO A SOBRE AVISO PRÉVIO TRABALHADO E REINCIDÊNCIA DO FGTS SOBRE AVISO PRÉVIO INDENIZADO</t>
  </si>
  <si>
    <t>D</t>
  </si>
  <si>
    <t>TOTAL A + B + C + D</t>
  </si>
  <si>
    <t>FONTE: http://www.caixa.gov.br/site/paginas/downloads.aspx</t>
  </si>
  <si>
    <t>Código</t>
  </si>
  <si>
    <t>Descrição</t>
  </si>
  <si>
    <t>Unidade</t>
  </si>
  <si>
    <t>Preço</t>
  </si>
  <si>
    <t>CD</t>
  </si>
  <si>
    <t>SD</t>
  </si>
  <si>
    <t>AJUDANTE DE ARMADOR COM ENCARGOS COMPLEMENTARES</t>
  </si>
  <si>
    <t>H</t>
  </si>
  <si>
    <t>AJUDANTE DE CARPINTEIRO COM ENCARGOS COMPLEMENTARES</t>
  </si>
  <si>
    <t>ARMAÇÃO DE LAJE DE UMA ESTRUTURA CONVENCIONAL DE CONCRETO ARMADO EM UMA EDIFICAÇÃO TÉRREA OU SOBRADO UTILIZANDO AÇO CA-60 DE 4,2 MM - MONTAGEM. AF_12/2015</t>
  </si>
  <si>
    <t>KG</t>
  </si>
  <si>
    <t>ARMADOR COM ENCARGOS COMPLEMENTARES</t>
  </si>
  <si>
    <t>AUXILIAR DE ELETRICISTA COM ENCARGOS COMPLEMENTARES</t>
  </si>
  <si>
    <t>AUXILIAR DE ENCANADOR OU BOMBEIRO HIDRÁULICO COM ENCARGOS COMPLEMENTARES</t>
  </si>
  <si>
    <t>BETONEIRA CAPACIDADE NOMINAL DE 600 L, CAPACIDADE DE MISTURA 360 L, MOTOR ELÉTRICO TRIFÁSICO POTÊNCIA DE 4 CV, SEM CARREGADOR - CHI DIURNO. AF_11/2014</t>
  </si>
  <si>
    <t>CHI</t>
  </si>
  <si>
    <t>BETONEIRA CAPACIDADE NOMINAL DE 600 L, CAPACIDADE DE MISTURA 360 L, MOTOR ELÉTRICO TRIFÁSICO POTÊNCIA DE 4 CV, SEM CARREGADOR - CHP DIURNO. AF_11/2014</t>
  </si>
  <si>
    <t>CHP</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</si>
  <si>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</si>
  <si>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</si>
  <si>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</si>
  <si>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</si>
  <si>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CABO DE COBRE FLEXÍVEL ISOLADO, 2,5 MM², ANTI-CHAMA 450/750 V, PARA CIRCUITOS TERMINAIS - FORNECIMENTO E INSTALAÇÃO. AF_12/2015</t>
  </si>
  <si>
    <t>M</t>
  </si>
  <si>
    <t>CAIXA ENTERRADA ELÉTRICA RETANGULAR, EM CONCRETO PRÉ-MOLDADO, FUNDO COM BRITA, DIMENSÕES INTERNAS: 0,3X0,3X0,3 M. AF_12/2020</t>
  </si>
  <si>
    <t>CARPINTEIRO DE ESQUADRIA COM ENCARGOS COMPLEMENTARES</t>
  </si>
  <si>
    <t>COMPACTADOR DE SOLOS DE PERCUSSÃO (SOQUETE) COM MOTOR A GASOLINA 4 TEMPOS, POTÊNCIA 4 CV - CHI DIURNO. AF_08/2015</t>
  </si>
  <si>
    <t>COMPACTADOR DE SOLOS DE PERCUSSÃO (SOQUETE) COM MOTOR A GASOLINA 4 TEMPOS, POTÊNCIA 4 CV - CHP DIURNO.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</si>
  <si>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</si>
  <si>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</si>
  <si>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</si>
  <si>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</si>
  <si>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CONCRETO FCK = 25MPA, TRAÇO 1:2,3:2,7 (CIMENTO/ AREIA MÉDIA/ BRITA 1)  - PREPARO MECÂNICO COM BETONEIRA 600 L. AF_07/2016</t>
  </si>
  <si>
    <t>M3</t>
  </si>
  <si>
    <t>CORTE E DOBRA DE AÇO CA-60, DIÂMETRO DE 4,2 MM, UTILIZADO EM LAJE. AF_12/2015</t>
  </si>
  <si>
    <t>CURSO DE CAPACITAÇÃO PARA AJUDANTE DE ARMADOR (ENCARGOS COMPLEMENTARES) - HORISTA</t>
  </si>
  <si>
    <t>CURSO DE CAPACITAÇÃO PARA AJUDANTE DE CARPINTEIRO (ENCARGOS COMPLEMENTARES) - HORISTA</t>
  </si>
  <si>
    <t>CURSO DE CAPACITAÇÃO PARA ARMADOR (ENCARGOS COMPLEMENTARES) - HORISTA</t>
  </si>
  <si>
    <t>CURSO DE CAPACITAÇÃO PARA AUXILIAR DE ELETRICISTA (ENCARGOS COMPLEMENTARES) - HORISTA</t>
  </si>
  <si>
    <t>CURSO DE CAPACITAÇÃO PARA AUXILIAR DE ENCANADOR OU BOMBEIRO HIDRÁULICO (ENCARGOS COMPLEMENTARES) - HORISTA</t>
  </si>
  <si>
    <t>CURSO DE CAPACITAÇÃO PARA CARPINTEIRO DE ESQUADRIA (ENCARGOS COMPLEMENTARES) - HORISTA</t>
  </si>
  <si>
    <t>CURSO DE CAPACITAÇÃO PARA ELETRICISTA (ENCARGOS COMPLEMENTARES) - HORISTA</t>
  </si>
  <si>
    <t>CURSO DE CAPACITAÇÃO PARA ENCANADOR OU BOMBEIRO HIDRÁULICO (ENCARGOS COMPLEMENTARES) - HORISTA</t>
  </si>
  <si>
    <t>CURSO DE CAPACITAÇÃO PARA MOTORISTA OPERADOR DE MUNCK (ENCARGOS COMPLEMENTARES) - HORISTA</t>
  </si>
  <si>
    <t>CURSO DE CAPACITAÇÃO PARA OPERADOR DE BETONEIRA ESTACIONÁRIA/MISTURADOR (ENCARGOS COMPLEMENTARES) - HORISTA</t>
  </si>
  <si>
    <t>CURSO DE CAPACITAÇÃO PARA OPERADOR DE MÁQUINAS E EQUIPAMENTOS (ENCARGOS COMPLEMENTARES) - HORISTA</t>
  </si>
  <si>
    <t>CURSO DE CAPACITAÇÃO PARA PEDREIRO (ENCARGOS COMPLEMENTARES) - HORISTA</t>
  </si>
  <si>
    <t>CURSO DE CAPACITAÇÃO PARA SERVENTE (ENCARGOS COMPLEMENTARES) - HORISTA</t>
  </si>
  <si>
    <t>CURVA 90 GRAUS PARA ELETRODUTO, PVC, ROSCÁVEL, DN 25 MM (3/4"), PARA CIRCUITOS TERMINAIS, INSTALADA EM LAJE - FORNECIMENTO E INSTALAÇÃO. AF_12/2015</t>
  </si>
  <si>
    <t>DISJUNTOR MONOPOLAR TIPO DIN, CORRENTE NOMINAL DE 16A - FORNECIMENTO E INSTALAÇÃO. AF_10/2020</t>
  </si>
  <si>
    <t>ELETRICISTA COM ENCARGOS COMPLEMENTARES</t>
  </si>
  <si>
    <t>ELETRODUTO RÍGIDO SOLDÁVEL, PVC, DN 25 MM (3/4), APARENTE, INSTALADO EM TETO - FORNECIMENTO E INSTALAÇÃO. AF_11/2016_P</t>
  </si>
  <si>
    <t>ENCANADOR OU BOMBEIRO HIDRÁULICO COM ENCARGOS COMPLEMENTARES</t>
  </si>
  <si>
    <t>ESCAVAÇÃO MANUAL DE VALA COM PROFUNDIDADE MENOR OU IGUAL A 1,30 M. AF_02/2021</t>
  </si>
  <si>
    <t>FIXAÇÃO DE TUBOS HORIZONTAIS DE PVC, CPVC OU COBRE DIÂMETROS MENORES OU IGUAIS A 40 MM OU ELETROCALHAS ATÉ 150MM DE LARGURA, COM ABRAÇADEIRA METÁLICA RÍGIDA TIPO D 1/2, FIXADA EM PERFILADO EM LAJE. AF_05/2015</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</si>
  <si>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</si>
  <si>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</si>
  <si>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</si>
  <si>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</si>
  <si>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</si>
  <si>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GUINDAUTO HIDRÁULICO, CAPACIDADE MÁXIMA DE CARGA 6200 KG, MOMENTO MÁXIMO DE CARGA 11,7 TM, ALCANCE MÁXIMO HORIZONTAL 9,70 M, INCLUSIVE CAMINHÃO TOCO PBT 16.000 KG, POTÊNCIA DE 189 CV - MATERIAIS NA OPERAÇÃO. AF_08/2015</t>
  </si>
  <si>
    <t>LUMINÁRIA DE LED PARA ILUMINAÇÃO PÚBLICA, DE 33 W ATÉ 50 W - FORNECIMENTO E INSTALAÇÃO. AF_08/2020</t>
  </si>
  <si>
    <t>LUVA PARA ELETRODUTO, PVC, ROSCÁVEL, DN 25 MM (3/4"), PARA CIRCUITOS TERMINAIS, INSTALADA EM FORRO - FORNECIMENTO E INSTALAÇÃO. AF_12/2015</t>
  </si>
  <si>
    <t>MOTORISTA OPERADOR DE MUNCK COM ENCARGOS COMPLEMENTARES</t>
  </si>
  <si>
    <t>OPERADOR DE BETONEIRA ESTACIONÁRIA/MISTURADOR COM ENCARGOS COMPLEMENTARES</t>
  </si>
  <si>
    <t>OPERADOR DE MÁQUINAS E EQUIPAMENTOS COM ENCARGOS COMPLEMENTARES</t>
  </si>
  <si>
    <t>PEÇA RETANGULAR PRÉ-MOLDADA, VOLUME DE CONCRETO DE ATÉ 10 LITROS, TAXA DE AÇO APROXIMADA DE 30KG/M³. AF_01/2018</t>
  </si>
  <si>
    <t>PEDREIRO COM ENCARGOS COMPLEMENTARES</t>
  </si>
  <si>
    <t>PREPARO DE FUNDO DE VALA COM LARGURA MENOR QUE 1,5 M, COM CAMADA DE BRITA, LANÇAMENTO MANUAL. AF_08/2020</t>
  </si>
  <si>
    <t>RELÉ FOTOELÉTRICO PARA COMANDO DE ILUMINAÇÃO EXTERNA 1000 W - FORNECIMENTO E INSTALAÇÃO. AF_08/2020</t>
  </si>
  <si>
    <t>SERRA CIRCULAR DE BANCADA COM MOTOR ELÉTRICO POTÊNCIA DE 5HP, COM COIFA PARA DISCO 10" - CHI DIURNO. AF_08/2015</t>
  </si>
  <si>
    <t>SERRA CIRCULAR DE BANCADA COM MOTOR ELÉTRICO POTÊNCIA DE 5HP, COM COIFA PARA DISCO 10" - CHP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</si>
  <si>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</si>
  <si>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</si>
  <si>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</si>
  <si>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</si>
  <si>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SERVENTE COM ENCARGOS COMPLEMENTARES</t>
  </si>
  <si>
    <t>VIBRADOR DE IMERSÃO, DIÂMETRO DE PONTEIRA 45MM, MOTOR ELÉTRICO TRIFÁSICO POTÊNCIA DE 2 CV - CHI DIURNO. AF_06/2015</t>
  </si>
  <si>
    <t>VIBRADOR DE IMERSÃO, DIÂMETRO DE PONTEIRA 45MM, MOTOR ELÉTRICO TRIFÁSICO POTÊNCIA DE 2 CV - CHP DIURNO. AF_06/2015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</si>
  <si>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</si>
  <si>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</si>
  <si>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</si>
  <si>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</si>
  <si>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ABRACADEIRA EM ACO PARA AMARRACAO DE ELETRODUTOS, TIPO D, COM 1/2" E PARAFUSO DE FIXACAO</t>
  </si>
  <si>
    <t>ACO CA-60, 4,2 MM, OU 5,0 MM, OU 6,0 MM, OU 7,0 MM, VERGALHAO</t>
  </si>
  <si>
    <t>AJUDANTE DE ARMADOR</t>
  </si>
  <si>
    <t>AJUDANTE DE ELETRICISTA</t>
  </si>
  <si>
    <t>ALIMENTACAO - HORISTA (COLETADO CAIXA)</t>
  </si>
  <si>
    <t>ARAME RECOZIDO 16 BWG, D = 1,65 MM (0,016 KG/M) OU 18 BWG, D = 1,25 MM (0,01 KG/M)</t>
  </si>
  <si>
    <t>AREIA MEDIA - POSTO JAZIDA/FORNECEDOR (RETIRADO NA JAZIDA, SEM TRANSPORTE)</t>
  </si>
  <si>
    <t>ARMADOR</t>
  </si>
  <si>
    <t>AUXILIAR DE ENCANADOR OU BOMBEIRO HIDRAULICO</t>
  </si>
  <si>
    <t>BETONEIRA, CAPACIDADE NOMINAL 600 L, CAPACIDADE DE MISTURA  360L, MOTOR ELETRICO TRIFASICO 220/380V, POTENCIA 4CV, EXCLUSO CARREGADOR</t>
  </si>
  <si>
    <t>BUCHA EM ALUMINIO, COM ROSCA, DE 3/4", PARA ELETRODUTO</t>
  </si>
  <si>
    <t>CABO DE COBRE, FLEXIVEL, CLASSE 4 OU 5, ISOLACAO EM PVC/A, ANTICHAMA BWF-B, 1 CONDUTOR, 450/750 V, SECAO NOMINAL 2,5 MM2</t>
  </si>
  <si>
    <t>CAIXA DE CONCRETO ARMADO PRE-MOLDADO, SEM FUNDO, QUADRADA, DIMENSOES DE 0,30 X 0,30 X 0,30 M</t>
  </si>
  <si>
    <t>CAMINHAO TOCO, PESO BRUTO TOTAL 16000 KG, CARGA UTIL MAXIMA DE 10685 KG, DISTANCIA ENTRE EIXOS 4,8M, POTENCIA 189 CV (INCLUI CABINE E CHASSI, NAO INCLUI CARROCERIA)</t>
  </si>
  <si>
    <t>CARPINTEIRO AUXILIAR</t>
  </si>
  <si>
    <t>CARPINTEIRO DE ESQUADRIAS</t>
  </si>
  <si>
    <t>CHAPA DE MADEIRA COMPENSADA RESINADA PARA FORMA DE CONCRETO, DE *2,2 X 1,1* M, E = 17 MM</t>
  </si>
  <si>
    <t>M2</t>
  </si>
  <si>
    <t>CHUMBADOR DE ACO, DIAMETRO 5/8", COMPRIMENTO 6", COM PORCA</t>
  </si>
  <si>
    <t>CIMENTO PORTLAND COMPOSTO CP II-32</t>
  </si>
  <si>
    <t>COMPACTADOR DE SOLOS DE PERCURSAO (SOQUETE) COM MOTOR A GASOLINA 4 TEMPOS DE 4 HP (4 CV)</t>
  </si>
  <si>
    <t>CURVA 90 GRAUS, LONGA, DE PVC RIGIDO ROSCAVEL, DE 3/4", PARA ELETRODUTO</t>
  </si>
  <si>
    <t>DESMOLDANTE PROTETOR PARA FORMAS DE MADEIRA, DE BASE OLEOSA EMULSIONADA EM AGUA</t>
  </si>
  <si>
    <t>DISJUNTOR TIPO DIN/IEC, MONOPOLAR DE 6  ATE  32A</t>
  </si>
  <si>
    <t>ELETRICISTA</t>
  </si>
  <si>
    <t>ELETRODUTO DE PVC RIGIDO SOLDAVEL, CLASSE B, DE 25 MM</t>
  </si>
  <si>
    <t>ELETRODUTO PVC FLEXIVEL CORRUGADO, REFORCADO, COR LARANJA, DE 25 MM, PARA LAJES E PISOS</t>
  </si>
  <si>
    <t>ENCANADOR OU BOMBEIRO HIDRAULICO</t>
  </si>
  <si>
    <t>ENERGIA ELETRICA ATE 2000 KWH INDUSTRIAL, SEM DEMANDA</t>
  </si>
  <si>
    <t>KW/H</t>
  </si>
  <si>
    <t>EPI - FAMILIA CARPINTEIRO DE FORMAS - HORISTA (ENCARGOS COMPLEMENTARES - COLETADO CAIXA)</t>
  </si>
  <si>
    <t>EPI - FAMILIA ELETRICISTA - HORISTA (ENCARGOS COMPLEMENTARES - COLETADO CAIXA)</t>
  </si>
  <si>
    <t>EPI - FAMILIA ENCANADOR - HORISTA (ENCARGOS COMPLEMENTARES - COLETADO CAIXA)</t>
  </si>
  <si>
    <t>EPI - FAMILIA OPERADOR ESCAVADEIRA - HORISTA (ENCARGOS COMPLEMENTARES - COLETADO CAIXA)</t>
  </si>
  <si>
    <t>EPI - FAMILIA PEDREIRO - HORISTA (ENCARGOS COMPLEMENTARES - COLETADO CAIXA)</t>
  </si>
  <si>
    <t>EPI - FAMILIA SERVENTE - HORISTA (ENCARGOS COMPLEMENTARES - COLETADO CAIXA)</t>
  </si>
  <si>
    <t>ESPACADOR / DISTANCIADOR CIRCULAR COM ENTRADA LATERAL, EM PLASTICO, PARA VERGALHAO *4,2 A 12,5* MM, COBRIMENTO 20 MM</t>
  </si>
  <si>
    <t>EXAMES - HORISTA (COLETADO CAIXA)</t>
  </si>
  <si>
    <t>FERRAMENTAS - FAMILIA CARPINTEIRO DE FORMAS - HORISTA (ENCARGOS COMPLEMENTARES - COLETADO CAIXA)</t>
  </si>
  <si>
    <t>FERRAMENTAS - FAMILIA ELETRICISTA - HORISTA (ENCARGOS COMPLEMENTARES - COLETADO CAIXA)</t>
  </si>
  <si>
    <t>FERRAMENTAS - FAMILIA ENCANADOR - HORISTA (ENCARGOS COMPLEMENTARES - COLETADO CAIXA)</t>
  </si>
  <si>
    <t>FERRAMENTAS - FAMILIA OPERADOR ESCAVADEIRA - HORISTA (ENCARGOS COMPLEMENTARES - COLETADO CAIXA)</t>
  </si>
  <si>
    <t>FERRAMENTAS - FAMILIA PEDREIRO - HORISTA (ENCARGOS COMPLEMENTARES - COLETADO CAIXA)</t>
  </si>
  <si>
    <t>FERRAMENTAS - FAMILIA SERVENTE - HORISTA (ENCARGOS COMPLEMENTARES - COLETADO CAIXA)</t>
  </si>
  <si>
    <t>FITA ISOLANTE ADESIVA ANTICHAMA, USO ATE 750 V, EM ROLO DE 19 MM X 5 M</t>
  </si>
  <si>
    <t>GASOLINA COMUM</t>
  </si>
  <si>
    <t>GUINDAUTO HIDRAULICO, CAPACIDADE MAXIMA DE CARGA 6200 KG, MOMENTO MAXIMO DE CARGA 11,7 TM , ALCANCE MAXIMO HORIZONTAL  9,70 M, PARA MONTAGEM SOBRE CHASSI DE CAMINHAO PBT MINIMO 13000 KG (INCLUI MONTAGEM, NAO INCLUI CAMINHAO)</t>
  </si>
  <si>
    <t>LUMINARIA DE LED PARA ILUMINACAO PUBLICA, DE 33 W ATE 50 W, INVOLUCRO EM ALUMINIO OU ACO INOX</t>
  </si>
  <si>
    <t>LUVA EM PVC RIGIDO ROSCAVEL, DE 3/4", PARA ELETRODUTO</t>
  </si>
  <si>
    <t>MOTORISTA OPERADOR DE CAMINHAO COM MUNCK</t>
  </si>
  <si>
    <t>OLEO DIESEL COMBUSTIVEL COMUM</t>
  </si>
  <si>
    <t>OPERADOR DE BETONEIRA ESTACIONARIA / MISTURADOR</t>
  </si>
  <si>
    <t>OPERADOR DE MAQUINAS E TRATORES DIVERSOS (TERRAPLANAGEM)</t>
  </si>
  <si>
    <t>PEDRA BRITADA N. 0, OU PEDRISCO (4,8 A 9,5 MM) POSTO PEDREIRA/FORNECEDOR, SEM FRETE</t>
  </si>
  <si>
    <t>PEDRA BRITADA N. 1 (9,5 a 19 MM) POSTO PEDREIRA/FORNECEDOR, SEM FRETE</t>
  </si>
  <si>
    <t>PEDREIRO</t>
  </si>
  <si>
    <t>POSTE CONICO CONTINUO EM ACO GALVANIZADO, RETO, FLANGEADO, H = 3 M, DIAMETRO INFERIOR = *95* MM</t>
  </si>
  <si>
    <t>PREGO DE ACO POLIDO COM CABECA 15 X 15 (1 1/4 X 13)</t>
  </si>
  <si>
    <t>RELE FOTOELETRICO INTERNO E EXTERNO BIVOLT 1000 W, DE CONECTOR, SEM BASE</t>
  </si>
  <si>
    <t>SEGURO - HORISTA (COLETADO CAIXA)</t>
  </si>
  <si>
    <t>SERRA CIRCULAR DE BANCADA COM MOTOR ELETRICO, POTENCIA DE *1600* W, PARA DISCO DE DIAMETRO DE 10" (250 MM)</t>
  </si>
  <si>
    <t>SERVENTE DE OBRAS</t>
  </si>
  <si>
    <t>TERMINAL A COMPRESSAO EM COBRE ESTANHADO PARA CABO 2,5 MM2, 1 FURO E 1 COMPRESSAO, PARA PARAFUSO DE FIXACAO M5</t>
  </si>
  <si>
    <t>TRANSPORTE - HORISTA (COLETADO CAIXA)</t>
  </si>
  <si>
    <t>VIBRADOR DE IMERSAO, DIAMETRO DA PONTEIRA DE *45* MM, COM MOTOR ELETRICO TRIFASICO DE 2 HP (2 CV)</t>
  </si>
  <si>
    <t xml:space="preserve">Referencia </t>
  </si>
  <si>
    <t>Própria</t>
  </si>
  <si>
    <t>Sinapi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</si>
</sst>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
    <numFmt numFmtId="165" formatCode="#,##0.000"/>
    <numFmt numFmtId="166" formatCode="#,##0.00000"/>
    <numFmt numFmtId="167" formatCode="#,##0.000000"/>
    <numFmt numFmtId="168" formatCode="#,##0.0000000"/>
    <numFmt numFmtId="169" formatCode="0.000%"/>
  </numFmts>
  <fonts count="21" x14ac:knownFonts="1">
    <font>
      <sz val="11"/>
      <color indexed="8"/>
      <name val="Calibri"/>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b/>
      <sz val="11"/>
      <color indexed="8"/>
      <name val="Calibri"/>
      <family val="2"/>
    </font>
    <font>
      <sz val="11"/>
      <color indexed="10"/>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top/>
      <bottom style="thin">
        <color auto="1"/>
      </bottom>
      <diagonal/>
    </border>
    <border>
      <left/>
      <right style="thin">
        <color auto="1"/>
      </right>
      <top style="thin">
        <color auto="1"/>
      </top>
      <bottom style="thin">
        <color rgb="FF000000"/>
      </bottom>
      <diagonal/>
    </border>
    <border>
      <left/>
      <right/>
      <top style="thin">
        <color auto="1"/>
      </top>
      <bottom style="thin">
        <color rgb="FF000000"/>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thin">
        <color indexed="64"/>
      </left>
      <right style="thin">
        <color indexed="64"/>
      </right>
      <top style="thin">
        <color indexed="64"/>
      </top>
      <bottom style="thin">
        <color indexed="64"/>
      </bottom>
      <diagonal/>
    </border>
  </borders>
  <cellStyleXfs count="43">
    <xf numFmtId="0" fontId="0" fillId="0" borderId="0" applyFill="0" applyProtection="0">
      <alignment vertical="center" wrapText="1"/>
    </xf>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8" fillId="0" borderId="0" applyFont="0" applyFill="0" applyBorder="0" applyAlignment="0" applyProtection="0">
      <alignment vertical="center" wrapText="1"/>
    </xf>
  </cellStyleXfs>
  <cellXfs count="113">
    <xf numFmtId="0" fontId="0" fillId="0" borderId="0" xfId="0">
      <alignment vertical="center" wrapText="1"/>
    </xf>
    <xf numFmtId="0" fontId="0" fillId="0" borderId="0" xfId="0" applyFill="1" applyProtection="1">
      <alignment vertical="center" wrapText="1"/>
    </xf>
    <xf numFmtId="0" fontId="19" fillId="0" borderId="0" xfId="0" applyFont="1" applyFill="1" applyAlignment="1" applyProtection="1">
      <alignment horizontal="center" vertical="center" wrapText="1"/>
    </xf>
    <xf numFmtId="0" fontId="19" fillId="0" borderId="0" xfId="0" applyFont="1" applyFill="1" applyProtection="1">
      <alignment vertical="center" wrapText="1"/>
    </xf>
    <xf numFmtId="0" fontId="19" fillId="0" borderId="0" xfId="0" applyFont="1" applyFill="1" applyAlignment="1" applyProtection="1">
      <alignment horizontal="left" vertical="center"/>
    </xf>
    <xf numFmtId="4" fontId="19" fillId="0" borderId="0" xfId="0" applyNumberFormat="1" applyFont="1" applyFill="1" applyAlignment="1" applyProtection="1">
      <alignment horizontal="center" vertical="center" wrapText="1"/>
    </xf>
    <xf numFmtId="0" fontId="19" fillId="0" borderId="10" xfId="0" applyFont="1" applyFill="1" applyBorder="1" applyAlignment="1" applyProtection="1">
      <alignment horizontal="center" vertical="center" wrapText="1"/>
    </xf>
    <xf numFmtId="4" fontId="0" fillId="0" borderId="17" xfId="0" applyNumberFormat="1" applyFill="1" applyBorder="1" applyAlignment="1" applyProtection="1">
      <alignment horizontal="center" vertical="center" wrapText="1"/>
    </xf>
    <xf numFmtId="4" fontId="0" fillId="0" borderId="0" xfId="0" applyNumberFormat="1" applyFont="1" applyFill="1" applyAlignment="1" applyProtection="1">
      <alignment horizontal="center" vertical="center" wrapText="1"/>
    </xf>
    <xf numFmtId="0" fontId="0" fillId="0" borderId="10" xfId="0" applyFont="1" applyFill="1" applyBorder="1" applyAlignment="1" applyProtection="1">
      <alignment horizontal="justify" vertical="center" wrapText="1"/>
    </xf>
    <xf numFmtId="0" fontId="19" fillId="0" borderId="19" xfId="0" applyFont="1" applyFill="1" applyBorder="1" applyAlignment="1" applyProtection="1">
      <alignment horizontal="center" vertical="center" wrapText="1"/>
    </xf>
    <xf numFmtId="0" fontId="19" fillId="0" borderId="20" xfId="0" applyFon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10" fontId="0" fillId="0" borderId="10" xfId="0" applyNumberFormat="1" applyFont="1" applyFill="1" applyBorder="1" applyAlignment="1" applyProtection="1">
      <alignment horizontal="center" vertical="center"/>
    </xf>
    <xf numFmtId="4" fontId="19" fillId="0" borderId="19" xfId="0" applyNumberFormat="1" applyFont="1" applyFill="1" applyBorder="1" applyAlignment="1" applyProtection="1">
      <alignment horizontal="center" vertical="center" wrapText="1"/>
    </xf>
    <xf numFmtId="10" fontId="19" fillId="0" borderId="10" xfId="0" applyNumberFormat="1" applyFont="1" applyFill="1" applyBorder="1" applyAlignment="1" applyProtection="1">
      <alignment horizontal="center" vertical="center"/>
    </xf>
    <xf numFmtId="0" fontId="19" fillId="0" borderId="24" xfId="0" applyFont="1" applyFill="1" applyBorder="1" applyAlignment="1" applyProtection="1">
      <alignment horizontal="center" vertical="center" wrapText="1"/>
    </xf>
    <xf numFmtId="0" fontId="0" fillId="0" borderId="10" xfId="0" applyFont="1" applyFill="1" applyBorder="1" applyAlignment="1" applyProtection="1">
      <alignment horizontal="center" vertical="center" wrapText="1"/>
    </xf>
    <xf numFmtId="4" fontId="0" fillId="0" borderId="10" xfId="0" applyNumberFormat="1" applyFont="1" applyFill="1" applyBorder="1" applyAlignment="1" applyProtection="1">
      <alignment horizontal="center" vertical="center" wrapText="1"/>
    </xf>
    <xf numFmtId="0" fontId="0" fillId="0" borderId="10" xfId="0" applyNumberFormat="1" applyFont="1" applyFill="1" applyBorder="1" applyAlignment="1" applyProtection="1">
      <alignment horizontal="center" vertical="center" wrapText="1"/>
    </xf>
    <xf numFmtId="4" fontId="19" fillId="0" borderId="10" xfId="0" applyNumberFormat="1" applyFont="1" applyFill="1" applyBorder="1" applyAlignment="1" applyProtection="1">
      <alignment horizontal="center" vertical="center" wrapText="1"/>
    </xf>
    <xf numFmtId="0" fontId="0" fillId="0" borderId="19" xfId="0" applyFont="1" applyFill="1" applyBorder="1" applyAlignment="1" applyProtection="1">
      <alignment horizontal="center" vertical="center" wrapText="1"/>
    </xf>
    <xf numFmtId="0" fontId="0" fillId="0" borderId="12" xfId="0" applyFont="1" applyFill="1" applyBorder="1" applyAlignment="1" applyProtection="1">
      <alignment vertical="center"/>
    </xf>
    <xf numFmtId="0" fontId="0" fillId="0" borderId="14" xfId="0" applyFont="1" applyFill="1" applyBorder="1" applyAlignment="1" applyProtection="1">
      <alignment vertical="center" wrapText="1"/>
    </xf>
    <xf numFmtId="0" fontId="0" fillId="0" borderId="14" xfId="0" applyFont="1" applyFill="1" applyBorder="1" applyAlignment="1" applyProtection="1">
      <alignment horizontal="center" vertical="center" wrapText="1"/>
    </xf>
    <xf numFmtId="4" fontId="0" fillId="0" borderId="14" xfId="0" applyNumberFormat="1" applyFont="1" applyFill="1" applyBorder="1" applyAlignment="1" applyProtection="1">
      <alignment horizontal="center" vertical="center" wrapText="1"/>
    </xf>
    <xf numFmtId="4" fontId="0" fillId="0" borderId="13" xfId="0" applyNumberFormat="1" applyFont="1" applyFill="1" applyBorder="1" applyAlignment="1" applyProtection="1">
      <alignment horizontal="center" vertical="center" wrapText="1"/>
    </xf>
    <xf numFmtId="0" fontId="19" fillId="0" borderId="10" xfId="0" applyNumberFormat="1" applyFont="1" applyFill="1" applyBorder="1" applyAlignment="1" applyProtection="1">
      <alignment horizontal="center" vertical="center" wrapText="1"/>
    </xf>
    <xf numFmtId="165" fontId="0" fillId="0" borderId="10" xfId="0" applyNumberFormat="1" applyFont="1" applyFill="1" applyBorder="1" applyAlignment="1" applyProtection="1">
      <alignment horizontal="center" vertical="center" wrapText="1"/>
    </xf>
    <xf numFmtId="164" fontId="0" fillId="0" borderId="10" xfId="0" applyNumberFormat="1" applyFont="1" applyFill="1" applyBorder="1" applyAlignment="1" applyProtection="1">
      <alignment horizontal="center" vertical="center" wrapText="1"/>
    </xf>
    <xf numFmtId="167" fontId="0" fillId="0" borderId="10" xfId="0" applyNumberFormat="1" applyFont="1" applyFill="1" applyBorder="1" applyAlignment="1" applyProtection="1">
      <alignment horizontal="center" vertical="center" wrapText="1"/>
    </xf>
    <xf numFmtId="168" fontId="0" fillId="0" borderId="10" xfId="0" applyNumberFormat="1" applyFont="1" applyFill="1" applyBorder="1" applyAlignment="1" applyProtection="1">
      <alignment horizontal="center" vertical="center" wrapText="1"/>
    </xf>
    <xf numFmtId="166" fontId="0" fillId="0" borderId="10" xfId="0" applyNumberFormat="1" applyFont="1" applyFill="1" applyBorder="1" applyAlignment="1" applyProtection="1">
      <alignment horizontal="center" vertical="center" wrapText="1"/>
    </xf>
    <xf numFmtId="0" fontId="20" fillId="0" borderId="0" xfId="0" applyFont="1" applyFill="1" applyAlignment="1" applyProtection="1">
      <alignment horizontal="center" vertical="center" wrapText="1"/>
    </xf>
    <xf numFmtId="0" fontId="0" fillId="0" borderId="10" xfId="0" applyFill="1" applyBorder="1" applyAlignment="1" applyProtection="1">
      <alignment horizontal="center" vertical="top" wrapText="1"/>
    </xf>
    <xf numFmtId="0" fontId="20" fillId="0" borderId="0" xfId="0" applyFont="1" applyFill="1" applyProtection="1">
      <alignment vertical="center" wrapText="1"/>
    </xf>
    <xf numFmtId="10" fontId="20" fillId="0" borderId="0" xfId="42" applyNumberFormat="1" applyFont="1" applyFill="1" applyAlignment="1" applyProtection="1">
      <alignment horizontal="center" vertical="center" wrapText="1"/>
    </xf>
    <xf numFmtId="0" fontId="19" fillId="0" borderId="0" xfId="0" applyFont="1" applyFill="1" applyBorder="1" applyAlignment="1" applyProtection="1">
      <alignment horizontal="center" vertical="center" wrapText="1"/>
    </xf>
    <xf numFmtId="0" fontId="19" fillId="0" borderId="18" xfId="0" applyFont="1" applyFill="1" applyBorder="1" applyAlignment="1" applyProtection="1">
      <alignment horizontal="center" vertical="center" wrapText="1"/>
    </xf>
    <xf numFmtId="0" fontId="0" fillId="0" borderId="13" xfId="0" applyFon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0" fillId="0" borderId="0" xfId="0" applyFill="1" applyBorder="1" applyProtection="1">
      <alignment vertical="center" wrapText="1"/>
    </xf>
    <xf numFmtId="0" fontId="0" fillId="0" borderId="34" xfId="0" applyFill="1" applyBorder="1" applyProtection="1">
      <alignment vertical="center" wrapText="1"/>
    </xf>
    <xf numFmtId="0" fontId="0" fillId="0" borderId="12" xfId="0" applyFont="1" applyFill="1" applyBorder="1" applyAlignment="1" applyProtection="1">
      <alignment horizontal="justify" vertical="center" wrapText="1"/>
    </xf>
    <xf numFmtId="0" fontId="0" fillId="0" borderId="14" xfId="0" applyFont="1" applyFill="1" applyBorder="1" applyAlignment="1" applyProtection="1">
      <alignment horizontal="justify" vertical="center" wrapText="1"/>
    </xf>
    <xf numFmtId="0" fontId="0" fillId="0" borderId="13" xfId="0" applyFont="1" applyFill="1" applyBorder="1" applyAlignment="1" applyProtection="1">
      <alignment horizontal="justify" vertical="center" wrapText="1"/>
    </xf>
    <xf numFmtId="0" fontId="0" fillId="0" borderId="12" xfId="0" applyFill="1" applyBorder="1" applyAlignment="1" applyProtection="1">
      <alignment horizontal="justify" vertical="top"/>
    </xf>
    <xf numFmtId="0" fontId="0" fillId="0" borderId="14" xfId="0" applyFill="1" applyBorder="1" applyAlignment="1" applyProtection="1">
      <alignment horizontal="justify" vertical="top"/>
    </xf>
    <xf numFmtId="0" fontId="0" fillId="0" borderId="13" xfId="0" applyFill="1" applyBorder="1" applyAlignment="1" applyProtection="1">
      <alignment horizontal="justify" vertical="top"/>
    </xf>
    <xf numFmtId="4" fontId="0" fillId="0" borderId="18" xfId="0" applyNumberFormat="1" applyFill="1" applyBorder="1" applyAlignment="1" applyProtection="1">
      <alignment horizontal="center" vertical="center" wrapText="1"/>
    </xf>
    <xf numFmtId="4" fontId="0" fillId="0" borderId="17" xfId="0" applyNumberFormat="1" applyFill="1" applyBorder="1" applyAlignment="1" applyProtection="1">
      <alignment horizontal="center" vertical="center" wrapText="1"/>
    </xf>
    <xf numFmtId="0" fontId="19" fillId="0" borderId="12" xfId="0" applyFont="1" applyFill="1" applyBorder="1" applyAlignment="1" applyProtection="1">
      <alignment horizontal="center" vertical="center" wrapText="1"/>
    </xf>
    <xf numFmtId="0" fontId="19" fillId="0" borderId="14" xfId="0" applyFont="1" applyFill="1" applyBorder="1" applyAlignment="1" applyProtection="1">
      <alignment horizontal="center" vertical="center" wrapText="1"/>
    </xf>
    <xf numFmtId="0" fontId="19" fillId="0" borderId="13" xfId="0" applyFont="1" applyFill="1" applyBorder="1" applyAlignment="1" applyProtection="1">
      <alignment horizontal="center" vertical="center" wrapText="1"/>
    </xf>
    <xf numFmtId="0" fontId="19" fillId="0" borderId="0" xfId="0" applyFont="1" applyFill="1" applyAlignment="1" applyProtection="1">
      <alignment horizontal="center" vertical="center" wrapText="1"/>
    </xf>
    <xf numFmtId="0" fontId="19" fillId="0" borderId="21" xfId="0" applyFont="1" applyFill="1" applyBorder="1" applyAlignment="1" applyProtection="1">
      <alignment horizontal="center" vertical="center" wrapText="1"/>
    </xf>
    <xf numFmtId="0" fontId="19" fillId="0" borderId="23" xfId="0" applyFont="1" applyFill="1" applyBorder="1" applyAlignment="1" applyProtection="1">
      <alignment horizontal="center" vertical="center" wrapText="1"/>
    </xf>
    <xf numFmtId="0" fontId="19" fillId="0" borderId="22" xfId="0" applyFont="1" applyFill="1" applyBorder="1" applyAlignment="1" applyProtection="1">
      <alignment horizontal="center" vertical="center" wrapText="1"/>
    </xf>
    <xf numFmtId="0" fontId="0" fillId="0" borderId="12" xfId="0" applyFill="1" applyBorder="1" applyAlignment="1" applyProtection="1">
      <alignment horizontal="left" vertical="center" wrapText="1"/>
    </xf>
    <xf numFmtId="0" fontId="0" fillId="0" borderId="14" xfId="0" applyFill="1" applyBorder="1" applyAlignment="1" applyProtection="1">
      <alignment horizontal="left" vertical="center" wrapText="1"/>
    </xf>
    <xf numFmtId="0" fontId="0" fillId="0" borderId="13" xfId="0" applyFill="1" applyBorder="1" applyAlignment="1" applyProtection="1">
      <alignment horizontal="left" vertical="center" wrapText="1"/>
    </xf>
    <xf numFmtId="0" fontId="19" fillId="0" borderId="24" xfId="0" applyFont="1" applyFill="1" applyBorder="1" applyAlignment="1" applyProtection="1">
      <alignment horizontal="center" vertical="center" wrapText="1"/>
    </xf>
    <xf numFmtId="0" fontId="19" fillId="0" borderId="18" xfId="0" applyFont="1" applyFill="1" applyBorder="1" applyAlignment="1" applyProtection="1">
      <alignment horizontal="center" vertical="center" wrapText="1"/>
    </xf>
    <xf numFmtId="0" fontId="19" fillId="0" borderId="17" xfId="0" applyFont="1" applyFill="1" applyBorder="1" applyAlignment="1" applyProtection="1">
      <alignment horizontal="center" vertical="center" wrapText="1"/>
    </xf>
    <xf numFmtId="0" fontId="0" fillId="0" borderId="26" xfId="0" applyFont="1" applyBorder="1" applyAlignment="1">
      <alignment horizontal="left" vertical="center" wrapText="1"/>
    </xf>
    <xf numFmtId="4" fontId="0" fillId="0" borderId="12" xfId="0" applyNumberFormat="1" applyFont="1" applyFill="1" applyBorder="1" applyAlignment="1" applyProtection="1">
      <alignment horizontal="center" vertical="center" wrapText="1"/>
    </xf>
    <xf numFmtId="4" fontId="0" fillId="0" borderId="13" xfId="0" applyNumberFormat="1" applyFont="1" applyFill="1" applyBorder="1" applyAlignment="1" applyProtection="1">
      <alignment horizontal="center" vertical="center" wrapText="1"/>
    </xf>
    <xf numFmtId="4" fontId="0" fillId="0" borderId="18" xfId="0" applyNumberFormat="1" applyFont="1" applyFill="1" applyBorder="1" applyAlignment="1" applyProtection="1">
      <alignment horizontal="center" vertical="center" wrapText="1"/>
    </xf>
    <xf numFmtId="4" fontId="0" fillId="0" borderId="17" xfId="0" applyNumberFormat="1" applyFont="1" applyFill="1" applyBorder="1" applyAlignment="1" applyProtection="1">
      <alignment horizontal="center" vertical="center" wrapText="1"/>
    </xf>
    <xf numFmtId="0" fontId="19" fillId="0" borderId="34" xfId="0" applyFont="1" applyFill="1" applyBorder="1" applyAlignment="1" applyProtection="1">
      <alignment horizontal="center" vertical="center" wrapText="1"/>
    </xf>
    <xf numFmtId="4" fontId="19" fillId="0" borderId="18" xfId="0" applyNumberFormat="1" applyFont="1" applyFill="1" applyBorder="1" applyAlignment="1" applyProtection="1">
      <alignment horizontal="center" vertical="center" wrapText="1"/>
    </xf>
    <xf numFmtId="4" fontId="19" fillId="0" borderId="17" xfId="0" applyNumberFormat="1" applyFont="1" applyFill="1" applyBorder="1" applyAlignment="1" applyProtection="1">
      <alignment horizontal="center" vertical="center" wrapText="1"/>
    </xf>
    <xf numFmtId="0" fontId="19" fillId="0" borderId="12" xfId="0" applyFont="1" applyFill="1" applyBorder="1" applyAlignment="1" applyProtection="1">
      <alignment horizontal="left" vertical="center" wrapText="1"/>
    </xf>
    <xf numFmtId="0" fontId="19" fillId="0" borderId="14" xfId="0" applyFont="1" applyFill="1" applyBorder="1" applyAlignment="1" applyProtection="1">
      <alignment horizontal="left" vertical="center" wrapText="1"/>
    </xf>
    <xf numFmtId="0" fontId="19" fillId="0" borderId="13" xfId="0" applyFont="1" applyFill="1" applyBorder="1" applyAlignment="1" applyProtection="1">
      <alignment horizontal="left" vertical="center" wrapText="1"/>
    </xf>
    <xf numFmtId="0" fontId="19" fillId="0" borderId="25" xfId="0" applyFont="1" applyFill="1" applyBorder="1" applyAlignment="1" applyProtection="1">
      <alignment horizontal="center" vertical="center" wrapText="1"/>
    </xf>
    <xf numFmtId="0" fontId="19" fillId="0" borderId="26" xfId="0" applyFont="1" applyFill="1" applyBorder="1" applyAlignment="1" applyProtection="1">
      <alignment horizontal="center" vertical="center" wrapText="1"/>
    </xf>
    <xf numFmtId="0" fontId="0" fillId="0" borderId="12" xfId="0" applyFont="1" applyFill="1" applyBorder="1" applyAlignment="1" applyProtection="1">
      <alignment horizontal="left" vertical="center" wrapText="1"/>
    </xf>
    <xf numFmtId="0" fontId="0" fillId="0" borderId="14" xfId="0" applyFont="1" applyFill="1" applyBorder="1" applyAlignment="1" applyProtection="1">
      <alignment horizontal="left" vertical="center" wrapText="1"/>
    </xf>
    <xf numFmtId="0" fontId="0" fillId="0" borderId="13" xfId="0" applyFont="1" applyFill="1" applyBorder="1" applyAlignment="1" applyProtection="1">
      <alignment horizontal="left" vertical="center" wrapText="1"/>
    </xf>
    <xf numFmtId="0" fontId="19" fillId="0" borderId="27" xfId="0" applyFont="1" applyFill="1" applyBorder="1" applyAlignment="1" applyProtection="1">
      <alignment horizontal="center" vertical="center" wrapText="1"/>
    </xf>
    <xf numFmtId="0" fontId="19" fillId="0" borderId="24" xfId="0" applyFont="1" applyFill="1" applyBorder="1" applyAlignment="1" applyProtection="1">
      <alignment horizontal="left" vertical="center" wrapText="1"/>
    </xf>
    <xf numFmtId="0" fontId="19" fillId="0" borderId="18" xfId="0" applyFont="1" applyFill="1" applyBorder="1" applyAlignment="1" applyProtection="1">
      <alignment horizontal="left" vertical="center" wrapText="1"/>
    </xf>
    <xf numFmtId="0" fontId="19" fillId="0" borderId="17" xfId="0" applyFont="1" applyFill="1" applyBorder="1" applyAlignment="1" applyProtection="1">
      <alignment horizontal="left" vertical="center" wrapText="1"/>
    </xf>
    <xf numFmtId="0" fontId="19" fillId="0" borderId="29" xfId="0" applyFont="1" applyFill="1" applyBorder="1" applyAlignment="1" applyProtection="1">
      <alignment horizontal="left" vertical="center" wrapText="1"/>
    </xf>
    <xf numFmtId="0" fontId="19" fillId="0" borderId="28" xfId="0" applyFont="1" applyFill="1" applyBorder="1" applyAlignment="1" applyProtection="1">
      <alignment horizontal="left" vertical="center" wrapText="1"/>
    </xf>
    <xf numFmtId="0" fontId="0" fillId="0" borderId="15" xfId="0" applyFill="1" applyBorder="1" applyAlignment="1" applyProtection="1">
      <alignment horizontal="justify" vertical="top" wrapText="1"/>
    </xf>
    <xf numFmtId="0" fontId="0" fillId="0" borderId="16" xfId="0" applyFill="1" applyBorder="1" applyAlignment="1" applyProtection="1">
      <alignment horizontal="justify" vertical="top" wrapText="1"/>
    </xf>
    <xf numFmtId="0" fontId="0" fillId="0" borderId="30" xfId="0" applyFill="1" applyBorder="1" applyAlignment="1" applyProtection="1">
      <alignment horizontal="justify" vertical="top" wrapText="1"/>
    </xf>
    <xf numFmtId="0" fontId="0" fillId="0" borderId="11" xfId="0" applyFill="1" applyBorder="1" applyAlignment="1" applyProtection="1">
      <alignment horizontal="justify" vertical="top" wrapText="1"/>
    </xf>
    <xf numFmtId="0" fontId="0" fillId="0" borderId="0" xfId="0" applyFill="1" applyBorder="1" applyAlignment="1" applyProtection="1">
      <alignment horizontal="justify" vertical="top" wrapText="1"/>
    </xf>
    <xf numFmtId="0" fontId="0" fillId="0" borderId="33" xfId="0" applyFill="1" applyBorder="1" applyAlignment="1" applyProtection="1">
      <alignment horizontal="justify" vertical="top" wrapText="1"/>
    </xf>
    <xf numFmtId="0" fontId="0" fillId="0" borderId="31" xfId="0" applyFill="1" applyBorder="1" applyAlignment="1" applyProtection="1">
      <alignment horizontal="justify" vertical="top" wrapText="1"/>
    </xf>
    <xf numFmtId="0" fontId="0" fillId="0" borderId="27" xfId="0" applyFill="1" applyBorder="1" applyAlignment="1" applyProtection="1">
      <alignment horizontal="justify" vertical="top" wrapText="1"/>
    </xf>
    <xf numFmtId="0" fontId="0" fillId="0" borderId="32" xfId="0" applyFill="1" applyBorder="1" applyAlignment="1" applyProtection="1">
      <alignment horizontal="justify" vertical="top" wrapText="1"/>
    </xf>
    <xf numFmtId="10" fontId="19" fillId="0" borderId="12" xfId="42" applyNumberFormat="1" applyFont="1" applyFill="1" applyBorder="1" applyAlignment="1" applyProtection="1">
      <alignment horizontal="center" vertical="top"/>
    </xf>
    <xf numFmtId="10" fontId="19" fillId="0" borderId="13" xfId="42" applyNumberFormat="1" applyFont="1" applyFill="1" applyBorder="1" applyAlignment="1" applyProtection="1">
      <alignment horizontal="center" vertical="top"/>
    </xf>
    <xf numFmtId="0" fontId="0" fillId="0" borderId="0" xfId="0" applyFill="1" applyAlignment="1" applyProtection="1">
      <alignment horizontal="center" vertical="center" wrapText="1"/>
    </xf>
    <xf numFmtId="0" fontId="0" fillId="0" borderId="0" xfId="0" applyFill="1" applyAlignment="1" applyProtection="1">
      <alignment horizontal="left" vertical="center" wrapText="1"/>
    </xf>
    <xf numFmtId="0" fontId="0" fillId="0" borderId="12" xfId="0" applyFill="1" applyBorder="1" applyAlignment="1" applyProtection="1">
      <alignment horizontal="center" vertical="top" wrapText="1"/>
    </xf>
    <xf numFmtId="0" fontId="0" fillId="0" borderId="13" xfId="0" applyFill="1" applyBorder="1" applyAlignment="1" applyProtection="1">
      <alignment horizontal="center" vertical="top" wrapText="1"/>
    </xf>
    <xf numFmtId="0" fontId="0" fillId="0" borderId="12" xfId="0" applyFill="1" applyBorder="1" applyAlignment="1" applyProtection="1">
      <alignment horizontal="center" vertical="top"/>
    </xf>
    <xf numFmtId="0" fontId="0" fillId="0" borderId="14" xfId="0" applyFill="1" applyBorder="1" applyAlignment="1" applyProtection="1">
      <alignment horizontal="center" vertical="top"/>
    </xf>
    <xf numFmtId="0" fontId="0" fillId="0" borderId="13" xfId="0" applyFill="1" applyBorder="1" applyAlignment="1" applyProtection="1">
      <alignment horizontal="center" vertical="top"/>
    </xf>
    <xf numFmtId="169" fontId="18" fillId="0" borderId="12" xfId="42" applyNumberFormat="1" applyFont="1" applyFill="1" applyBorder="1" applyAlignment="1" applyProtection="1">
      <alignment horizontal="center" vertical="top"/>
    </xf>
    <xf numFmtId="169" fontId="18" fillId="0" borderId="13" xfId="42" applyNumberFormat="1" applyFont="1" applyFill="1" applyBorder="1" applyAlignment="1" applyProtection="1">
      <alignment horizontal="center" vertical="top"/>
    </xf>
    <xf numFmtId="0" fontId="20" fillId="0" borderId="16" xfId="0" applyFont="1" applyFill="1" applyBorder="1" applyAlignment="1" applyProtection="1">
      <alignment horizontal="left" vertical="center"/>
    </xf>
    <xf numFmtId="0" fontId="0" fillId="0" borderId="14" xfId="0" applyFill="1" applyBorder="1" applyAlignment="1" applyProtection="1">
      <alignment horizontal="center" vertical="top" wrapText="1"/>
    </xf>
    <xf numFmtId="0" fontId="19" fillId="0" borderId="15"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wrapText="1"/>
    </xf>
    <xf numFmtId="0" fontId="19" fillId="0" borderId="31" xfId="0" applyFont="1" applyFill="1" applyBorder="1" applyAlignment="1" applyProtection="1">
      <alignment horizontal="center" vertical="center" wrapText="1"/>
    </xf>
    <xf numFmtId="0" fontId="19" fillId="0" borderId="32" xfId="0" applyFont="1" applyFill="1" applyBorder="1" applyAlignment="1" applyProtection="1">
      <alignment horizontal="center" vertical="center" wrapText="1"/>
    </xf>
    <xf numFmtId="0" fontId="19" fillId="0" borderId="16" xfId="0" applyFont="1" applyFill="1" applyBorder="1" applyAlignment="1" applyProtection="1">
      <alignment horizontal="center" vertical="center" wrapText="1"/>
    </xf>
  </cellXfs>
  <cellStyles count="43">
    <cellStyle name="20% - Ênfase1" xfId="19" builtinId="30" customBuiltin="1"/>
    <cellStyle name="20% - Ênfase2" xfId="23" builtinId="34" customBuiltin="1"/>
    <cellStyle name="20% - Ênfase3" xfId="27" builtinId="38" customBuiltin="1"/>
    <cellStyle name="20% - Ênfase4" xfId="31" builtinId="42" customBuiltin="1"/>
    <cellStyle name="20% - Ênfase5" xfId="35" builtinId="46" customBuiltin="1"/>
    <cellStyle name="20% - Ênfase6" xfId="39" builtinId="50" customBuiltin="1"/>
    <cellStyle name="40% - Ênfase1" xfId="20" builtinId="31" customBuiltin="1"/>
    <cellStyle name="40% - Ênfase2" xfId="24" builtinId="35" customBuiltin="1"/>
    <cellStyle name="40% - Ênfase3" xfId="28" builtinId="39" customBuiltin="1"/>
    <cellStyle name="40% - Ênfase4" xfId="32" builtinId="43" customBuiltin="1"/>
    <cellStyle name="40% - Ênfase5" xfId="36" builtinId="47" customBuiltin="1"/>
    <cellStyle name="40% - Ênfase6" xfId="40" builtinId="51" customBuiltin="1"/>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Incorreto" xfId="7" builtinId="27" customBuiltin="1"/>
    <cellStyle name="Neutra" xfId="8" builtinId="28" customBuiltin="1"/>
    <cellStyle name="Normal" xfId="0" builtinId="0" customBuiltin="1"/>
    <cellStyle name="Nota" xfId="15" builtinId="10" customBuiltin="1"/>
    <cellStyle name="Porcentagem 2" xfId="42"/>
    <cellStyle name="Saída" xfId="10" builtinId="21" customBuiltin="1"/>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view="pageBreakPreview" zoomScale="60" zoomScaleNormal="100" workbookViewId="0">
      <selection activeCell="O13" sqref="O13"/>
    </sheetView>
  </sheetViews>
  <sheetFormatPr defaultColWidth="9.109375" defaultRowHeight="15" customHeight="1" x14ac:dyDescent="0.3"/>
  <cols>
    <col min="1" max="1" width="12" style="1" customWidth="1"/>
    <col min="2" max="2" width="8" style="1" customWidth="1"/>
    <col min="3" max="3" width="4" style="1" customWidth="1"/>
    <col min="4" max="4" width="8" style="1" customWidth="1"/>
    <col min="5" max="6" width="21.88671875" style="1" customWidth="1"/>
    <col min="7" max="7" width="16" style="1" customWidth="1"/>
    <col min="8" max="11" width="9.88671875" style="1" customWidth="1"/>
    <col min="12" max="12" width="16" style="1" customWidth="1"/>
    <col min="13" max="16384" width="9.109375" style="1"/>
  </cols>
  <sheetData>
    <row r="1" spans="1:12" ht="15" customHeight="1" x14ac:dyDescent="0.3">
      <c r="A1" s="54" t="s">
        <v>0</v>
      </c>
      <c r="B1" s="54"/>
      <c r="C1" s="54"/>
      <c r="D1" s="54"/>
      <c r="E1" s="54"/>
      <c r="F1" s="54"/>
      <c r="G1" s="54"/>
      <c r="H1" s="54"/>
      <c r="I1" s="54"/>
      <c r="J1" s="54"/>
      <c r="K1" s="54"/>
    </row>
    <row r="2" spans="1:12" ht="15" customHeight="1" x14ac:dyDescent="0.3">
      <c r="A2" s="54" t="s">
        <v>1</v>
      </c>
      <c r="B2" s="54"/>
      <c r="C2" s="54"/>
      <c r="D2" s="54"/>
      <c r="E2" s="54"/>
      <c r="F2" s="54"/>
      <c r="G2" s="54"/>
      <c r="H2" s="54"/>
      <c r="I2" s="54"/>
      <c r="J2" s="54"/>
      <c r="K2" s="54"/>
    </row>
    <row r="3" spans="1:12" ht="15" customHeight="1" x14ac:dyDescent="0.3">
      <c r="A3" s="54" t="s">
        <v>2</v>
      </c>
      <c r="B3" s="54"/>
      <c r="C3" s="54"/>
      <c r="D3" s="54"/>
      <c r="E3" s="54"/>
      <c r="F3" s="54"/>
      <c r="G3" s="54"/>
      <c r="H3" s="54"/>
      <c r="I3" s="54"/>
      <c r="J3" s="54"/>
      <c r="K3" s="54"/>
    </row>
    <row r="4" spans="1:12" ht="15" customHeight="1" x14ac:dyDescent="0.3">
      <c r="A4" s="3"/>
      <c r="B4" s="3"/>
      <c r="C4" s="3"/>
      <c r="D4" s="3"/>
      <c r="E4" s="3"/>
      <c r="F4" s="3"/>
      <c r="G4" s="3"/>
      <c r="H4" s="3"/>
      <c r="I4" s="3"/>
      <c r="J4" s="3"/>
      <c r="K4" s="3"/>
    </row>
    <row r="5" spans="1:12" ht="15" customHeight="1" x14ac:dyDescent="0.3">
      <c r="A5" s="2" t="s">
        <v>3</v>
      </c>
      <c r="B5" s="4" t="s">
        <v>4</v>
      </c>
      <c r="C5" s="2"/>
      <c r="D5" s="2"/>
      <c r="E5" s="2"/>
      <c r="F5" s="4" t="s">
        <v>200</v>
      </c>
      <c r="G5" s="2" t="s">
        <v>6</v>
      </c>
      <c r="H5" s="5">
        <f>IF(ONERA="COM DESONERAÇÃO",LS!$G$43,LS!$I$43)*100</f>
        <v>112.14999999999999</v>
      </c>
      <c r="I5" s="3"/>
      <c r="J5" s="2" t="s">
        <v>7</v>
      </c>
      <c r="K5" s="5">
        <f>BDI!J17*100</f>
        <v>21.25</v>
      </c>
    </row>
    <row r="6" spans="1:12" ht="15" customHeight="1" x14ac:dyDescent="0.3">
      <c r="A6" s="51" t="s">
        <v>8</v>
      </c>
      <c r="B6" s="52"/>
      <c r="C6" s="52"/>
      <c r="D6" s="52"/>
      <c r="E6" s="52"/>
      <c r="F6" s="52"/>
      <c r="G6" s="53"/>
      <c r="H6" s="51" t="s">
        <v>9</v>
      </c>
      <c r="I6" s="53"/>
      <c r="J6" s="51" t="s">
        <v>10</v>
      </c>
      <c r="K6" s="53"/>
      <c r="L6" s="2" t="s">
        <v>11</v>
      </c>
    </row>
    <row r="7" spans="1:12" ht="15" customHeight="1" x14ac:dyDescent="0.3">
      <c r="A7" s="46" t="s">
        <v>12</v>
      </c>
      <c r="B7" s="47"/>
      <c r="C7" s="47"/>
      <c r="D7" s="47"/>
      <c r="E7" s="47"/>
      <c r="F7" s="47"/>
      <c r="G7" s="48"/>
      <c r="H7" s="49">
        <v>20000</v>
      </c>
      <c r="I7" s="50"/>
      <c r="J7" s="49">
        <f>VLOOKUP("TOTAL",RESUMO!A:K,10,FALSE)</f>
        <v>14852.17</v>
      </c>
      <c r="K7" s="50"/>
      <c r="L7" s="8">
        <f>(J7)-(H7)</f>
        <v>-5147.83</v>
      </c>
    </row>
    <row r="8" spans="1:12" ht="15" customHeight="1" x14ac:dyDescent="0.3">
      <c r="A8" s="3"/>
      <c r="B8" s="3"/>
      <c r="C8" s="3"/>
      <c r="D8" s="3"/>
      <c r="E8" s="3"/>
      <c r="F8" s="3"/>
      <c r="G8" s="3"/>
      <c r="H8" s="3"/>
      <c r="I8" s="3"/>
      <c r="J8" s="3"/>
      <c r="K8" s="3"/>
    </row>
    <row r="9" spans="1:12" ht="15" customHeight="1" x14ac:dyDescent="0.3">
      <c r="A9" s="51" t="s">
        <v>13</v>
      </c>
      <c r="B9" s="52"/>
      <c r="C9" s="52"/>
      <c r="D9" s="52"/>
      <c r="E9" s="52"/>
      <c r="F9" s="52"/>
      <c r="G9" s="52"/>
      <c r="H9" s="52"/>
      <c r="I9" s="52"/>
      <c r="J9" s="52"/>
      <c r="K9" s="53"/>
    </row>
    <row r="10" spans="1:12" ht="15" customHeight="1" x14ac:dyDescent="0.3">
      <c r="A10" s="43" t="s">
        <v>14</v>
      </c>
      <c r="B10" s="44"/>
      <c r="C10" s="44"/>
      <c r="D10" s="44"/>
      <c r="E10" s="44"/>
      <c r="F10" s="44"/>
      <c r="G10" s="44"/>
      <c r="H10" s="44"/>
      <c r="I10" s="44"/>
      <c r="J10" s="44"/>
      <c r="K10" s="45"/>
    </row>
    <row r="11" spans="1:12" ht="15" customHeight="1" x14ac:dyDescent="0.3">
      <c r="A11" s="3"/>
      <c r="B11" s="3"/>
      <c r="C11" s="3"/>
      <c r="D11" s="3"/>
      <c r="E11" s="3"/>
      <c r="F11" s="3"/>
      <c r="G11" s="3"/>
      <c r="H11" s="3"/>
      <c r="I11" s="3"/>
      <c r="J11" s="3"/>
      <c r="K11" s="3"/>
    </row>
    <row r="12" spans="1:12" ht="15" customHeight="1" x14ac:dyDescent="0.3">
      <c r="A12" s="51" t="s">
        <v>15</v>
      </c>
      <c r="B12" s="52"/>
      <c r="C12" s="52"/>
      <c r="D12" s="52"/>
      <c r="E12" s="52"/>
      <c r="F12" s="52"/>
      <c r="G12" s="52"/>
      <c r="H12" s="52"/>
      <c r="I12" s="52"/>
      <c r="J12" s="52"/>
      <c r="K12" s="53"/>
    </row>
    <row r="13" spans="1:12" ht="78" customHeight="1" x14ac:dyDescent="0.3">
      <c r="A13" s="43" t="s">
        <v>16</v>
      </c>
      <c r="B13" s="44"/>
      <c r="C13" s="44"/>
      <c r="D13" s="44"/>
      <c r="E13" s="44"/>
      <c r="F13" s="44"/>
      <c r="G13" s="44"/>
      <c r="H13" s="44"/>
      <c r="I13" s="44"/>
      <c r="J13" s="44"/>
      <c r="K13" s="45"/>
    </row>
    <row r="14" spans="1:12" ht="60" customHeight="1" x14ac:dyDescent="0.3">
      <c r="A14" s="43" t="s">
        <v>17</v>
      </c>
      <c r="B14" s="44"/>
      <c r="C14" s="44"/>
      <c r="D14" s="44"/>
      <c r="E14" s="44"/>
      <c r="F14" s="44"/>
      <c r="G14" s="44"/>
      <c r="H14" s="44"/>
      <c r="I14" s="44"/>
      <c r="J14" s="44"/>
      <c r="K14" s="45"/>
    </row>
    <row r="15" spans="1:12" ht="249.9" customHeight="1" x14ac:dyDescent="0.3">
      <c r="A15" s="43" t="s">
        <v>18</v>
      </c>
      <c r="B15" s="44"/>
      <c r="C15" s="44"/>
      <c r="D15" s="44"/>
      <c r="E15" s="44"/>
      <c r="F15" s="44"/>
      <c r="G15" s="44"/>
      <c r="H15" s="44"/>
      <c r="I15" s="44"/>
      <c r="J15" s="44"/>
      <c r="K15" s="45"/>
    </row>
  </sheetData>
  <sheetProtection formatCells="0" formatColumns="0" formatRows="0" insertColumns="0" insertRows="0" insertHyperlinks="0" deleteColumns="0" deleteRows="0" sort="0" autoFilter="0" pivotTables="0"/>
  <mergeCells count="15">
    <mergeCell ref="A1:K1"/>
    <mergeCell ref="A2:K2"/>
    <mergeCell ref="A3:K3"/>
    <mergeCell ref="A6:G6"/>
    <mergeCell ref="H6:I6"/>
    <mergeCell ref="J6:K6"/>
    <mergeCell ref="A13:K13"/>
    <mergeCell ref="A14:K14"/>
    <mergeCell ref="A15:K15"/>
    <mergeCell ref="A7:G7"/>
    <mergeCell ref="H7:I7"/>
    <mergeCell ref="J7:K7"/>
    <mergeCell ref="A9:K9"/>
    <mergeCell ref="A10:K10"/>
    <mergeCell ref="A12:K12"/>
  </mergeCells>
  <dataValidations count="1">
    <dataValidation type="list" allowBlank="1" showInputMessage="1" showErrorMessage="1" sqref="F5">
      <formula1>"COM DESONERAÇÃO,SEM DESONERAÇÃO"</formula1>
    </dataValidation>
  </dataValidations>
  <pageMargins left="0.7" right="0.7" top="0.75" bottom="0.75" header="0.3" footer="0.3"/>
  <pageSetup scale="70" orientation="portrait" r:id="rId1"/>
  <colBreaks count="1" manualBreakCount="1">
    <brk id="11"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election activeCell="I9" sqref="I9"/>
    </sheetView>
  </sheetViews>
  <sheetFormatPr defaultColWidth="9.109375" defaultRowHeight="15" customHeight="1" x14ac:dyDescent="0.3"/>
  <cols>
    <col min="1" max="1" width="14.6640625" style="1" customWidth="1"/>
    <col min="2" max="2" width="12.6640625" style="1" customWidth="1"/>
    <col min="3" max="3" width="4.6640625" style="1" customWidth="1"/>
    <col min="4" max="4" width="8.6640625" style="1" customWidth="1"/>
    <col min="5" max="5" width="25.6640625" style="1" customWidth="1"/>
    <col min="6" max="6" width="12.6640625" style="1" customWidth="1"/>
    <col min="7" max="7" width="8.6640625" style="1" customWidth="1"/>
    <col min="8" max="9" width="16.6640625" style="1" customWidth="1"/>
    <col min="10" max="11" width="8.6640625" style="1" customWidth="1"/>
    <col min="12" max="12" width="16.6640625" style="1" customWidth="1"/>
    <col min="13" max="13" width="27.5546875" style="1" customWidth="1"/>
    <col min="14" max="16384" width="9.109375" style="1"/>
  </cols>
  <sheetData>
    <row r="1" spans="1:13" ht="15" customHeight="1" x14ac:dyDescent="0.3">
      <c r="A1" s="54" t="str">
        <f>CIDADE</f>
        <v>MUNICÍPIO DE FLORESTA DO PIAUI - PI</v>
      </c>
      <c r="B1" s="54"/>
      <c r="C1" s="54"/>
      <c r="D1" s="54"/>
      <c r="E1" s="54"/>
      <c r="F1" s="54"/>
      <c r="G1" s="54"/>
      <c r="H1" s="54"/>
      <c r="I1" s="54"/>
      <c r="J1" s="54"/>
      <c r="K1" s="54"/>
    </row>
    <row r="2" spans="1:13" ht="15" customHeight="1" x14ac:dyDescent="0.3">
      <c r="A2" s="54" t="str">
        <f>OBRA</f>
        <v>INSTALAÇÕES ELÉTRICAS DE ILUMINAÇÃO DE PASSARELA DE  U E WILSON NUNES MARTINS FILHO</v>
      </c>
      <c r="B2" s="54"/>
      <c r="C2" s="54"/>
      <c r="D2" s="54"/>
      <c r="E2" s="54"/>
      <c r="F2" s="54"/>
      <c r="G2" s="54"/>
      <c r="H2" s="54"/>
      <c r="I2" s="54"/>
      <c r="J2" s="54"/>
      <c r="K2" s="54"/>
    </row>
    <row r="3" spans="1:13" ht="15" customHeight="1" x14ac:dyDescent="0.3">
      <c r="A3" s="54" t="s">
        <v>159</v>
      </c>
      <c r="B3" s="54"/>
      <c r="C3" s="54"/>
      <c r="D3" s="54"/>
      <c r="E3" s="54"/>
      <c r="F3" s="54"/>
      <c r="G3" s="54"/>
      <c r="H3" s="54"/>
      <c r="I3" s="54"/>
      <c r="J3" s="54"/>
      <c r="K3" s="54"/>
    </row>
    <row r="4" spans="1:13" ht="15" customHeight="1" x14ac:dyDescent="0.3">
      <c r="A4" s="3"/>
      <c r="B4" s="3"/>
      <c r="C4" s="3"/>
      <c r="D4" s="3"/>
      <c r="E4" s="3"/>
      <c r="F4" s="3"/>
      <c r="G4" s="3"/>
      <c r="H4" s="3"/>
      <c r="I4" s="3"/>
      <c r="J4" s="3"/>
      <c r="K4" s="3"/>
    </row>
    <row r="5" spans="1:13" ht="15" customHeight="1" x14ac:dyDescent="0.3">
      <c r="A5" s="2" t="s">
        <v>3</v>
      </c>
      <c r="B5" s="4" t="str">
        <f>FONTE&amp;ONERA</f>
        <v>SINAPI PI-02/2021, SEINFRA 27, ORSE-01/2021, SEM DESONERAÇÃO</v>
      </c>
      <c r="C5" s="2"/>
      <c r="D5" s="2"/>
      <c r="E5" s="2"/>
      <c r="G5" s="3"/>
      <c r="H5" s="2" t="s">
        <v>6</v>
      </c>
      <c r="I5" s="5">
        <f>LEI</f>
        <v>112.14999999999999</v>
      </c>
      <c r="J5" s="2" t="s">
        <v>7</v>
      </c>
      <c r="K5" s="5">
        <f>BDI</f>
        <v>21.25</v>
      </c>
    </row>
    <row r="6" spans="1:13" ht="15" customHeight="1" x14ac:dyDescent="0.3">
      <c r="A6" s="10" t="s">
        <v>63</v>
      </c>
      <c r="B6" s="10" t="s">
        <v>24</v>
      </c>
      <c r="C6" s="75" t="s">
        <v>8</v>
      </c>
      <c r="D6" s="76"/>
      <c r="E6" s="76"/>
      <c r="F6" s="76"/>
      <c r="G6" s="6" t="s">
        <v>25</v>
      </c>
      <c r="H6" s="6" t="s">
        <v>64</v>
      </c>
      <c r="I6" s="6" t="s">
        <v>65</v>
      </c>
      <c r="J6" s="62" t="s">
        <v>10</v>
      </c>
      <c r="K6" s="63"/>
    </row>
    <row r="7" spans="1:13" ht="30" customHeight="1" x14ac:dyDescent="0.3">
      <c r="A7" s="6" t="s">
        <v>87</v>
      </c>
      <c r="B7" s="27">
        <v>95308</v>
      </c>
      <c r="C7" s="84" t="str">
        <f>VLOOKUP(B7,S!$A:$D,2,FALSE)</f>
        <v>CURSO DE CAPACITAÇÃO PARA AJUDANTE DE ARMADOR (ENCARGOS COMPLEMENTARES) - HORISTA</v>
      </c>
      <c r="D7" s="84"/>
      <c r="E7" s="84"/>
      <c r="F7" s="85"/>
      <c r="G7" s="6" t="str">
        <f>VLOOKUP(B7,S!$A:$D,3,FALSE)</f>
        <v>H</v>
      </c>
      <c r="H7" s="20"/>
      <c r="I7" s="20">
        <f>J9</f>
        <v>0.08</v>
      </c>
      <c r="J7" s="70"/>
      <c r="K7" s="71"/>
      <c r="L7" s="20">
        <f>VLOOKUP(B7,S!$A:$D,4,FALSE)</f>
        <v>0.08</v>
      </c>
      <c r="M7" s="6" t="str">
        <f>IF(ROUND((L7-I7),2)=0,"OK, confere com a tabela.",IF(ROUND((L7-I7),2)&lt;0,"ACIMA ("&amp;TEXT(ROUND(I7*100/L7,4),"0,0000")&amp;" %) da tabela.","ABAIXO ("&amp;TEXT(ROUND(I7*100/L7,4),"0,0000")&amp;" %) da tabela."))</f>
        <v>OK, confere com a tabela.</v>
      </c>
    </row>
    <row r="8" spans="1:13" ht="15" customHeight="1" x14ac:dyDescent="0.3">
      <c r="A8" s="17" t="s">
        <v>70</v>
      </c>
      <c r="B8" s="19">
        <v>6114</v>
      </c>
      <c r="C8" s="64" t="str">
        <f>VLOOKUP(B8,IF(A8="COMPOSICAO",S!$A:$D,I!$A:$D),2,FALSE)</f>
        <v>AJUDANTE DE ARMADOR</v>
      </c>
      <c r="D8" s="64"/>
      <c r="E8" s="64"/>
      <c r="F8" s="64"/>
      <c r="G8" s="17" t="str">
        <f>VLOOKUP(B8,IF(A8="COMPOSICAO",S!$A:$D,I!$A:$D),3,FALSE)</f>
        <v>H</v>
      </c>
      <c r="H8" s="29">
        <v>8.2000000000000007E-3</v>
      </c>
      <c r="I8" s="18">
        <f>VLOOKUP(B8,I!$A:$D,4,FALSE)</f>
        <v>10.41</v>
      </c>
      <c r="J8" s="67">
        <f>TRUNC(H8*I8,2)</f>
        <v>0.08</v>
      </c>
      <c r="K8" s="68"/>
    </row>
    <row r="9" spans="1:13" ht="15" customHeight="1" x14ac:dyDescent="0.3">
      <c r="A9" s="22" t="s">
        <v>151</v>
      </c>
      <c r="B9" s="23"/>
      <c r="C9" s="23"/>
      <c r="D9" s="23"/>
      <c r="E9" s="23"/>
      <c r="F9" s="23"/>
      <c r="G9" s="24"/>
      <c r="H9" s="25"/>
      <c r="I9" s="26"/>
      <c r="J9" s="67">
        <f>SUM(J7:K8)</f>
        <v>0.08</v>
      </c>
      <c r="K9" s="68"/>
    </row>
    <row r="10" spans="1:13" ht="15" customHeight="1" x14ac:dyDescent="0.3">
      <c r="A10" s="3"/>
      <c r="B10" s="3"/>
      <c r="C10" s="3"/>
      <c r="D10" s="3"/>
      <c r="E10" s="3"/>
      <c r="F10" s="3"/>
      <c r="G10" s="3"/>
      <c r="H10" s="3"/>
      <c r="I10" s="3"/>
      <c r="J10" s="3"/>
      <c r="K10" s="3"/>
    </row>
    <row r="11" spans="1:13" ht="15" customHeight="1" x14ac:dyDescent="0.3">
      <c r="A11" s="10" t="s">
        <v>63</v>
      </c>
      <c r="B11" s="10" t="s">
        <v>24</v>
      </c>
      <c r="C11" s="75" t="s">
        <v>8</v>
      </c>
      <c r="D11" s="76"/>
      <c r="E11" s="76"/>
      <c r="F11" s="76"/>
      <c r="G11" s="6" t="s">
        <v>25</v>
      </c>
      <c r="H11" s="6" t="s">
        <v>64</v>
      </c>
      <c r="I11" s="6" t="s">
        <v>65</v>
      </c>
      <c r="J11" s="62" t="s">
        <v>10</v>
      </c>
      <c r="K11" s="63"/>
    </row>
    <row r="12" spans="1:13" ht="30" customHeight="1" x14ac:dyDescent="0.3">
      <c r="A12" s="6" t="s">
        <v>87</v>
      </c>
      <c r="B12" s="27">
        <v>95314</v>
      </c>
      <c r="C12" s="84" t="str">
        <f>VLOOKUP(B12,S!$A:$D,2,FALSE)</f>
        <v>CURSO DE CAPACITAÇÃO PARA ARMADOR (ENCARGOS COMPLEMENTARES) - HORISTA</v>
      </c>
      <c r="D12" s="84"/>
      <c r="E12" s="84"/>
      <c r="F12" s="85"/>
      <c r="G12" s="6" t="str">
        <f>VLOOKUP(B12,S!$A:$D,3,FALSE)</f>
        <v>H</v>
      </c>
      <c r="H12" s="20"/>
      <c r="I12" s="20">
        <f>J14</f>
        <v>0.12</v>
      </c>
      <c r="J12" s="70"/>
      <c r="K12" s="71"/>
      <c r="L12" s="20">
        <f>VLOOKUP(B12,S!$A:$D,4,FALSE)</f>
        <v>0.12</v>
      </c>
      <c r="M12" s="6" t="str">
        <f>IF(ROUND((L12-I12),2)=0,"OK, confere com a tabela.",IF(ROUND((L12-I12),2)&lt;0,"ACIMA ("&amp;TEXT(ROUND(I12*100/L12,4),"0,0000")&amp;" %) da tabela.","ABAIXO ("&amp;TEXT(ROUND(I12*100/L12,4),"0,0000")&amp;" %) da tabela."))</f>
        <v>OK, confere com a tabela.</v>
      </c>
    </row>
    <row r="13" spans="1:13" ht="15" customHeight="1" x14ac:dyDescent="0.3">
      <c r="A13" s="17" t="s">
        <v>70</v>
      </c>
      <c r="B13" s="19">
        <v>378</v>
      </c>
      <c r="C13" s="64" t="str">
        <f>VLOOKUP(B13,IF(A13="COMPOSICAO",S!$A:$D,I!$A:$D),2,FALSE)</f>
        <v>ARMADOR</v>
      </c>
      <c r="D13" s="64"/>
      <c r="E13" s="64"/>
      <c r="F13" s="64"/>
      <c r="G13" s="17" t="str">
        <f>VLOOKUP(B13,IF(A13="COMPOSICAO",S!$A:$D,I!$A:$D),3,FALSE)</f>
        <v>H</v>
      </c>
      <c r="H13" s="29">
        <v>8.2000000000000007E-3</v>
      </c>
      <c r="I13" s="18">
        <f>VLOOKUP(B13,I!$A:$D,4,FALSE)</f>
        <v>14.93</v>
      </c>
      <c r="J13" s="67">
        <f>TRUNC(H13*I13,2)</f>
        <v>0.12</v>
      </c>
      <c r="K13" s="68"/>
    </row>
    <row r="14" spans="1:13" ht="15" customHeight="1" x14ac:dyDescent="0.3">
      <c r="A14" s="22" t="s">
        <v>152</v>
      </c>
      <c r="B14" s="23"/>
      <c r="C14" s="23"/>
      <c r="D14" s="23"/>
      <c r="E14" s="23"/>
      <c r="F14" s="23"/>
      <c r="G14" s="24"/>
      <c r="H14" s="25"/>
      <c r="I14" s="26"/>
      <c r="J14" s="67">
        <f>SUM(J12:K13)</f>
        <v>0.12</v>
      </c>
      <c r="K14" s="68"/>
    </row>
    <row r="15" spans="1:13" ht="15" customHeight="1" x14ac:dyDescent="0.3">
      <c r="A15" s="3"/>
      <c r="B15" s="3"/>
      <c r="C15" s="3"/>
      <c r="D15" s="3"/>
      <c r="E15" s="3"/>
      <c r="F15" s="3"/>
      <c r="G15" s="3"/>
      <c r="H15" s="3"/>
      <c r="I15" s="3"/>
      <c r="J15" s="3"/>
      <c r="K15" s="3"/>
    </row>
  </sheetData>
  <sheetProtection formatCells="0" formatColumns="0" formatRows="0" insertColumns="0" insertRows="0" insertHyperlinks="0" deleteColumns="0" deleteRows="0" sort="0" autoFilter="0" pivotTables="0"/>
  <mergeCells count="17">
    <mergeCell ref="C7:F7"/>
    <mergeCell ref="J7:K7"/>
    <mergeCell ref="A1:K1"/>
    <mergeCell ref="A2:K2"/>
    <mergeCell ref="A3:K3"/>
    <mergeCell ref="C6:F6"/>
    <mergeCell ref="J6:K6"/>
    <mergeCell ref="C13:F13"/>
    <mergeCell ref="J13:K13"/>
    <mergeCell ref="J14:K14"/>
    <mergeCell ref="C8:F8"/>
    <mergeCell ref="J8:K8"/>
    <mergeCell ref="J9:K9"/>
    <mergeCell ref="C11:F11"/>
    <mergeCell ref="J11:K11"/>
    <mergeCell ref="C12:F12"/>
    <mergeCell ref="J12:K12"/>
  </mergeCell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election activeCell="L20" sqref="L20"/>
    </sheetView>
  </sheetViews>
  <sheetFormatPr defaultColWidth="9.109375" defaultRowHeight="15" customHeight="1" x14ac:dyDescent="0.3"/>
  <cols>
    <col min="1" max="1" width="12" style="1" customWidth="1"/>
    <col min="2" max="2" width="8" style="1" customWidth="1"/>
    <col min="3" max="3" width="4" style="1" customWidth="1"/>
    <col min="4" max="4" width="8" style="1" customWidth="1"/>
    <col min="5" max="6" width="21" style="1" customWidth="1"/>
    <col min="7" max="7" width="16" style="1" customWidth="1"/>
    <col min="8" max="8" width="8" style="1" customWidth="1"/>
    <col min="9" max="9" width="7.5546875" style="1" customWidth="1"/>
    <col min="10" max="11" width="9.5546875" style="1" customWidth="1"/>
    <col min="12" max="12" width="27.5546875" style="1" customWidth="1"/>
    <col min="13" max="13" width="28.5546875" style="1" customWidth="1"/>
    <col min="14" max="14" width="8" style="1" customWidth="1"/>
    <col min="15" max="16384" width="9.109375" style="1"/>
  </cols>
  <sheetData>
    <row r="1" spans="1:14" ht="15" customHeight="1" x14ac:dyDescent="0.3">
      <c r="A1" s="54" t="str">
        <f>CIDADE</f>
        <v>MUNICÍPIO DE FLORESTA DO PIAUI - PI</v>
      </c>
      <c r="B1" s="54"/>
      <c r="C1" s="54"/>
      <c r="D1" s="54"/>
      <c r="E1" s="54"/>
      <c r="F1" s="54"/>
      <c r="G1" s="54"/>
      <c r="H1" s="54"/>
      <c r="I1" s="54"/>
      <c r="J1" s="54"/>
      <c r="K1" s="54"/>
    </row>
    <row r="2" spans="1:14" ht="15" customHeight="1" x14ac:dyDescent="0.3">
      <c r="A2" s="54" t="str">
        <f>OBRA</f>
        <v>INSTALAÇÕES ELÉTRICAS DE ILUMINAÇÃO DE PASSARELA DE  U E WILSON NUNES MARTINS FILHO</v>
      </c>
      <c r="B2" s="54"/>
      <c r="C2" s="54"/>
      <c r="D2" s="54"/>
      <c r="E2" s="54"/>
      <c r="F2" s="54"/>
      <c r="G2" s="54"/>
      <c r="H2" s="54"/>
      <c r="I2" s="54"/>
      <c r="J2" s="54"/>
      <c r="K2" s="54"/>
    </row>
    <row r="3" spans="1:14" ht="15" customHeight="1" x14ac:dyDescent="0.3">
      <c r="A3" s="54" t="s">
        <v>160</v>
      </c>
      <c r="B3" s="54"/>
      <c r="C3" s="54"/>
      <c r="D3" s="54"/>
      <c r="E3" s="54"/>
      <c r="F3" s="54"/>
      <c r="G3" s="54"/>
      <c r="H3" s="54"/>
      <c r="I3" s="54"/>
      <c r="J3" s="54"/>
      <c r="K3" s="54"/>
    </row>
    <row r="4" spans="1:14" ht="15" customHeight="1" x14ac:dyDescent="0.3">
      <c r="A4" s="3"/>
      <c r="B4" s="3"/>
      <c r="C4" s="3"/>
      <c r="D4" s="3"/>
      <c r="E4" s="3"/>
      <c r="F4" s="3"/>
      <c r="G4" s="3"/>
      <c r="H4" s="3"/>
      <c r="I4" s="3"/>
      <c r="J4" s="3"/>
      <c r="K4" s="3"/>
    </row>
    <row r="5" spans="1:14" ht="15" customHeight="1" x14ac:dyDescent="0.3">
      <c r="A5" s="2" t="s">
        <v>3</v>
      </c>
      <c r="B5" s="4" t="str">
        <f>FONTE&amp;ONERA</f>
        <v>SINAPI PI-02/2021, SEINFRA 27, ORSE-01/2021, SEM DESONERAÇÃO</v>
      </c>
      <c r="C5" s="2"/>
      <c r="D5" s="2"/>
      <c r="E5" s="2"/>
      <c r="F5" s="3"/>
      <c r="G5" s="2" t="s">
        <v>6</v>
      </c>
      <c r="H5" s="5">
        <f>LEI</f>
        <v>112.14999999999999</v>
      </c>
      <c r="I5" s="3"/>
      <c r="J5" s="2" t="s">
        <v>7</v>
      </c>
      <c r="K5" s="5">
        <f>BDI</f>
        <v>21.25</v>
      </c>
    </row>
    <row r="6" spans="1:14" ht="15" customHeight="1" x14ac:dyDescent="0.3">
      <c r="A6" s="51" t="s">
        <v>20</v>
      </c>
      <c r="B6" s="53"/>
      <c r="C6" s="51" t="s">
        <v>8</v>
      </c>
      <c r="D6" s="52"/>
      <c r="E6" s="52"/>
      <c r="F6" s="52"/>
      <c r="G6" s="52"/>
      <c r="H6" s="52"/>
      <c r="I6" s="53"/>
      <c r="J6" s="51" t="s">
        <v>21</v>
      </c>
      <c r="K6" s="53"/>
      <c r="L6" s="33" t="s">
        <v>161</v>
      </c>
    </row>
    <row r="7" spans="1:14" ht="15" customHeight="1" x14ac:dyDescent="0.3">
      <c r="A7" s="99" t="s">
        <v>162</v>
      </c>
      <c r="B7" s="100"/>
      <c r="C7" s="101" t="s">
        <v>163</v>
      </c>
      <c r="D7" s="102"/>
      <c r="E7" s="102"/>
      <c r="F7" s="102"/>
      <c r="G7" s="102"/>
      <c r="H7" s="102"/>
      <c r="I7" s="103"/>
      <c r="J7" s="104">
        <v>0.03</v>
      </c>
      <c r="K7" s="105"/>
      <c r="L7" s="33" t="s">
        <v>164</v>
      </c>
    </row>
    <row r="8" spans="1:14" ht="15" customHeight="1" x14ac:dyDescent="0.3">
      <c r="A8" s="99" t="s">
        <v>165</v>
      </c>
      <c r="B8" s="100"/>
      <c r="C8" s="101" t="s">
        <v>166</v>
      </c>
      <c r="D8" s="102"/>
      <c r="E8" s="102"/>
      <c r="F8" s="102"/>
      <c r="G8" s="102"/>
      <c r="H8" s="102"/>
      <c r="I8" s="103"/>
      <c r="J8" s="104">
        <v>8.0000000000000002E-3</v>
      </c>
      <c r="K8" s="105"/>
      <c r="L8" s="33" t="s">
        <v>167</v>
      </c>
    </row>
    <row r="9" spans="1:14" ht="15" customHeight="1" x14ac:dyDescent="0.3">
      <c r="A9" s="99" t="s">
        <v>168</v>
      </c>
      <c r="B9" s="100"/>
      <c r="C9" s="101" t="s">
        <v>169</v>
      </c>
      <c r="D9" s="102"/>
      <c r="E9" s="102"/>
      <c r="F9" s="102"/>
      <c r="G9" s="102"/>
      <c r="H9" s="102"/>
      <c r="I9" s="103"/>
      <c r="J9" s="104">
        <v>9.7000000000000003E-3</v>
      </c>
      <c r="K9" s="105"/>
      <c r="L9" s="33" t="s">
        <v>170</v>
      </c>
    </row>
    <row r="10" spans="1:14" ht="15" customHeight="1" x14ac:dyDescent="0.3">
      <c r="A10" s="99" t="s">
        <v>171</v>
      </c>
      <c r="B10" s="100"/>
      <c r="C10" s="101" t="s">
        <v>172</v>
      </c>
      <c r="D10" s="102"/>
      <c r="E10" s="102"/>
      <c r="F10" s="102"/>
      <c r="G10" s="102"/>
      <c r="H10" s="102"/>
      <c r="I10" s="103"/>
      <c r="J10" s="104">
        <v>5.8999999999999999E-3</v>
      </c>
      <c r="K10" s="105"/>
      <c r="L10" s="33" t="s">
        <v>173</v>
      </c>
    </row>
    <row r="11" spans="1:14" ht="15" customHeight="1" x14ac:dyDescent="0.3">
      <c r="A11" s="99" t="s">
        <v>174</v>
      </c>
      <c r="B11" s="100"/>
      <c r="C11" s="101" t="s">
        <v>175</v>
      </c>
      <c r="D11" s="102"/>
      <c r="E11" s="102"/>
      <c r="F11" s="102"/>
      <c r="G11" s="102"/>
      <c r="H11" s="102"/>
      <c r="I11" s="103"/>
      <c r="J11" s="104">
        <v>7.399E-2</v>
      </c>
      <c r="K11" s="105"/>
      <c r="L11" s="33" t="s">
        <v>176</v>
      </c>
    </row>
    <row r="12" spans="1:14" ht="15" customHeight="1" x14ac:dyDescent="0.3">
      <c r="A12" s="99" t="s">
        <v>177</v>
      </c>
      <c r="B12" s="100"/>
      <c r="C12" s="101" t="s">
        <v>178</v>
      </c>
      <c r="D12" s="102"/>
      <c r="E12" s="102"/>
      <c r="F12" s="102"/>
      <c r="G12" s="102"/>
      <c r="H12" s="102"/>
      <c r="I12" s="103"/>
      <c r="J12" s="104">
        <f>SUM(J13:K16)</f>
        <v>6.6500000000000004E-2</v>
      </c>
      <c r="K12" s="105"/>
      <c r="L12" s="33" t="s">
        <v>179</v>
      </c>
    </row>
    <row r="13" spans="1:14" ht="15" customHeight="1" x14ac:dyDescent="0.3">
      <c r="A13" s="99" t="s">
        <v>180</v>
      </c>
      <c r="B13" s="100"/>
      <c r="C13" s="101" t="s">
        <v>181</v>
      </c>
      <c r="D13" s="102"/>
      <c r="E13" s="102"/>
      <c r="F13" s="102"/>
      <c r="G13" s="102"/>
      <c r="H13" s="102"/>
      <c r="I13" s="103"/>
      <c r="J13" s="104">
        <v>6.4999999999999997E-3</v>
      </c>
      <c r="K13" s="105"/>
      <c r="L13" s="33" t="s">
        <v>179</v>
      </c>
    </row>
    <row r="14" spans="1:14" ht="15" customHeight="1" x14ac:dyDescent="0.3">
      <c r="A14" s="99" t="s">
        <v>182</v>
      </c>
      <c r="B14" s="100"/>
      <c r="C14" s="101" t="s">
        <v>183</v>
      </c>
      <c r="D14" s="102"/>
      <c r="E14" s="102"/>
      <c r="F14" s="102"/>
      <c r="G14" s="102"/>
      <c r="H14" s="102"/>
      <c r="I14" s="103"/>
      <c r="J14" s="104">
        <v>0.03</v>
      </c>
      <c r="K14" s="105"/>
      <c r="L14" s="33" t="s">
        <v>179</v>
      </c>
    </row>
    <row r="15" spans="1:14" ht="15" customHeight="1" x14ac:dyDescent="0.3">
      <c r="A15" s="99" t="s">
        <v>184</v>
      </c>
      <c r="B15" s="100"/>
      <c r="C15" s="101" t="str">
        <f>"IMPOSTO SOBRE SERVIÇOS DE QUALQUER NATUREZA ("&amp;N15*100&amp;"% x "&amp;N16*100&amp;"%)"</f>
        <v>IMPOSTO SOBRE SERVIÇOS DE QUALQUER NATUREZA (5% x 60%)</v>
      </c>
      <c r="D15" s="102"/>
      <c r="E15" s="102"/>
      <c r="F15" s="102"/>
      <c r="G15" s="102"/>
      <c r="H15" s="102"/>
      <c r="I15" s="103"/>
      <c r="J15" s="104">
        <f>ROUND(N15*N16,4)</f>
        <v>0.03</v>
      </c>
      <c r="K15" s="105"/>
      <c r="L15" s="33" t="s">
        <v>185</v>
      </c>
      <c r="M15" s="35" t="s">
        <v>186</v>
      </c>
      <c r="N15" s="36">
        <v>0.05</v>
      </c>
    </row>
    <row r="16" spans="1:14" ht="15" customHeight="1" x14ac:dyDescent="0.3">
      <c r="A16" s="99" t="s">
        <v>187</v>
      </c>
      <c r="B16" s="100"/>
      <c r="C16" s="101" t="s">
        <v>188</v>
      </c>
      <c r="D16" s="102"/>
      <c r="E16" s="102"/>
      <c r="F16" s="102"/>
      <c r="G16" s="102"/>
      <c r="H16" s="102"/>
      <c r="I16" s="103"/>
      <c r="J16" s="104">
        <f>IF(ONERA="COM DESONERAÇÃO",0.045,0)</f>
        <v>0</v>
      </c>
      <c r="K16" s="105"/>
      <c r="L16" s="33" t="s">
        <v>179</v>
      </c>
      <c r="M16" s="35" t="s">
        <v>189</v>
      </c>
      <c r="N16" s="36">
        <v>0.6</v>
      </c>
    </row>
    <row r="17" spans="1:12" ht="15" customHeight="1" x14ac:dyDescent="0.3">
      <c r="A17" s="51" t="s">
        <v>190</v>
      </c>
      <c r="B17" s="53"/>
      <c r="C17" s="51" t="s">
        <v>191</v>
      </c>
      <c r="D17" s="52"/>
      <c r="E17" s="52"/>
      <c r="F17" s="52"/>
      <c r="G17" s="52"/>
      <c r="H17" s="52"/>
      <c r="I17" s="53"/>
      <c r="J17" s="95">
        <f>ROUND((((1+J7+J8+J9)*(1+J10)*(1+J11))/(1-J12))-1,4)</f>
        <v>0.21249999999999999</v>
      </c>
      <c r="K17" s="96"/>
      <c r="L17" s="33" t="s">
        <v>192</v>
      </c>
    </row>
    <row r="18" spans="1:12" ht="15" customHeight="1" x14ac:dyDescent="0.3">
      <c r="A18" s="3"/>
      <c r="B18" s="3"/>
      <c r="C18" s="3"/>
      <c r="D18" s="3"/>
      <c r="E18" s="3"/>
      <c r="F18" s="3"/>
      <c r="G18" s="3"/>
      <c r="H18" s="3"/>
      <c r="I18" s="3"/>
      <c r="J18" s="3"/>
      <c r="K18" s="3"/>
    </row>
    <row r="19" spans="1:12" ht="50.1" customHeight="1" x14ac:dyDescent="0.3">
      <c r="A19" s="97" t="s">
        <v>193</v>
      </c>
      <c r="B19" s="97"/>
      <c r="C19" s="97"/>
      <c r="D19" s="97"/>
      <c r="E19" s="97"/>
      <c r="F19" s="97"/>
      <c r="G19" s="97"/>
      <c r="H19" s="97"/>
      <c r="I19" s="97"/>
      <c r="J19" s="97"/>
      <c r="K19" s="97"/>
    </row>
    <row r="20" spans="1:12" ht="15" customHeight="1" x14ac:dyDescent="0.3">
      <c r="A20" s="98" t="s">
        <v>194</v>
      </c>
      <c r="B20" s="98"/>
      <c r="C20" s="98"/>
      <c r="D20" s="98"/>
      <c r="E20" s="98"/>
      <c r="F20" s="98"/>
      <c r="G20" s="98"/>
      <c r="H20" s="98"/>
      <c r="I20" s="98"/>
      <c r="J20" s="98"/>
      <c r="K20" s="98"/>
    </row>
    <row r="21" spans="1:12" ht="15" customHeight="1" x14ac:dyDescent="0.3">
      <c r="A21" s="51" t="s">
        <v>195</v>
      </c>
      <c r="B21" s="52"/>
      <c r="C21" s="52"/>
      <c r="D21" s="52"/>
      <c r="E21" s="52"/>
      <c r="F21" s="52"/>
      <c r="G21" s="52"/>
      <c r="H21" s="52"/>
      <c r="I21" s="52"/>
      <c r="J21" s="52"/>
      <c r="K21" s="53"/>
    </row>
    <row r="22" spans="1:12" ht="15" customHeight="1" x14ac:dyDescent="0.3">
      <c r="A22" s="86" t="s">
        <v>196</v>
      </c>
      <c r="B22" s="87"/>
      <c r="C22" s="87"/>
      <c r="D22" s="87"/>
      <c r="E22" s="87"/>
      <c r="F22" s="87"/>
      <c r="G22" s="87"/>
      <c r="H22" s="87"/>
      <c r="I22" s="87"/>
      <c r="J22" s="87"/>
      <c r="K22" s="88"/>
    </row>
    <row r="23" spans="1:12" ht="15" customHeight="1" x14ac:dyDescent="0.3">
      <c r="A23" s="89"/>
      <c r="B23" s="90"/>
      <c r="C23" s="90"/>
      <c r="D23" s="90"/>
      <c r="E23" s="90"/>
      <c r="F23" s="90"/>
      <c r="G23" s="90"/>
      <c r="H23" s="90"/>
      <c r="I23" s="90"/>
      <c r="J23" s="90"/>
      <c r="K23" s="91"/>
    </row>
    <row r="24" spans="1:12" ht="15" customHeight="1" x14ac:dyDescent="0.3">
      <c r="A24" s="92"/>
      <c r="B24" s="93"/>
      <c r="C24" s="93"/>
      <c r="D24" s="93"/>
      <c r="E24" s="93"/>
      <c r="F24" s="93"/>
      <c r="G24" s="93"/>
      <c r="H24" s="93"/>
      <c r="I24" s="93"/>
      <c r="J24" s="93"/>
      <c r="K24" s="94"/>
    </row>
    <row r="25" spans="1:12" ht="15" customHeight="1" x14ac:dyDescent="0.3">
      <c r="A25" s="86" t="s">
        <v>197</v>
      </c>
      <c r="B25" s="87"/>
      <c r="C25" s="87"/>
      <c r="D25" s="87"/>
      <c r="E25" s="87"/>
      <c r="F25" s="87"/>
      <c r="G25" s="87"/>
      <c r="H25" s="87"/>
      <c r="I25" s="87"/>
      <c r="J25" s="87"/>
      <c r="K25" s="88"/>
    </row>
    <row r="26" spans="1:12" ht="15" customHeight="1" x14ac:dyDescent="0.3">
      <c r="A26" s="89"/>
      <c r="B26" s="90"/>
      <c r="C26" s="90"/>
      <c r="D26" s="90"/>
      <c r="E26" s="90"/>
      <c r="F26" s="90"/>
      <c r="G26" s="90"/>
      <c r="H26" s="90"/>
      <c r="I26" s="90"/>
      <c r="J26" s="90"/>
      <c r="K26" s="91"/>
    </row>
    <row r="27" spans="1:12" ht="15" customHeight="1" x14ac:dyDescent="0.3">
      <c r="A27" s="92"/>
      <c r="B27" s="93"/>
      <c r="C27" s="93"/>
      <c r="D27" s="93"/>
      <c r="E27" s="93"/>
      <c r="F27" s="93"/>
      <c r="G27" s="93"/>
      <c r="H27" s="93"/>
      <c r="I27" s="93"/>
      <c r="J27" s="93"/>
      <c r="K27" s="94"/>
    </row>
    <row r="28" spans="1:12" ht="15" customHeight="1" x14ac:dyDescent="0.3">
      <c r="A28" s="86" t="s">
        <v>198</v>
      </c>
      <c r="B28" s="87"/>
      <c r="C28" s="87"/>
      <c r="D28" s="87"/>
      <c r="E28" s="87"/>
      <c r="F28" s="87"/>
      <c r="G28" s="87"/>
      <c r="H28" s="87"/>
      <c r="I28" s="87"/>
      <c r="J28" s="87"/>
      <c r="K28" s="88"/>
    </row>
    <row r="29" spans="1:12" ht="15" customHeight="1" x14ac:dyDescent="0.3">
      <c r="A29" s="89"/>
      <c r="B29" s="90"/>
      <c r="C29" s="90"/>
      <c r="D29" s="90"/>
      <c r="E29" s="90"/>
      <c r="F29" s="90"/>
      <c r="G29" s="90"/>
      <c r="H29" s="90"/>
      <c r="I29" s="90"/>
      <c r="J29" s="90"/>
      <c r="K29" s="91"/>
    </row>
    <row r="30" spans="1:12" ht="15" customHeight="1" x14ac:dyDescent="0.3">
      <c r="A30" s="89"/>
      <c r="B30" s="90"/>
      <c r="C30" s="90"/>
      <c r="D30" s="90"/>
      <c r="E30" s="90"/>
      <c r="F30" s="90"/>
      <c r="G30" s="90"/>
      <c r="H30" s="90"/>
      <c r="I30" s="90"/>
      <c r="J30" s="90"/>
      <c r="K30" s="91"/>
    </row>
    <row r="31" spans="1:12" ht="15" customHeight="1" x14ac:dyDescent="0.3">
      <c r="A31" s="89"/>
      <c r="B31" s="90"/>
      <c r="C31" s="90"/>
      <c r="D31" s="90"/>
      <c r="E31" s="90"/>
      <c r="F31" s="90"/>
      <c r="G31" s="90"/>
      <c r="H31" s="90"/>
      <c r="I31" s="90"/>
      <c r="J31" s="90"/>
      <c r="K31" s="91"/>
    </row>
    <row r="32" spans="1:12" ht="15" customHeight="1" x14ac:dyDescent="0.3">
      <c r="A32" s="89"/>
      <c r="B32" s="90"/>
      <c r="C32" s="90"/>
      <c r="D32" s="90"/>
      <c r="E32" s="90"/>
      <c r="F32" s="90"/>
      <c r="G32" s="90"/>
      <c r="H32" s="90"/>
      <c r="I32" s="90"/>
      <c r="J32" s="90"/>
      <c r="K32" s="91"/>
    </row>
    <row r="33" spans="1:11" ht="15" customHeight="1" x14ac:dyDescent="0.3">
      <c r="A33" s="89"/>
      <c r="B33" s="90"/>
      <c r="C33" s="90"/>
      <c r="D33" s="90"/>
      <c r="E33" s="90"/>
      <c r="F33" s="90"/>
      <c r="G33" s="90"/>
      <c r="H33" s="90"/>
      <c r="I33" s="90"/>
      <c r="J33" s="90"/>
      <c r="K33" s="91"/>
    </row>
    <row r="34" spans="1:11" ht="15" customHeight="1" x14ac:dyDescent="0.3">
      <c r="A34" s="89"/>
      <c r="B34" s="90"/>
      <c r="C34" s="90"/>
      <c r="D34" s="90"/>
      <c r="E34" s="90"/>
      <c r="F34" s="90"/>
      <c r="G34" s="90"/>
      <c r="H34" s="90"/>
      <c r="I34" s="90"/>
      <c r="J34" s="90"/>
      <c r="K34" s="91"/>
    </row>
    <row r="35" spans="1:11" ht="15" customHeight="1" x14ac:dyDescent="0.3">
      <c r="A35" s="89"/>
      <c r="B35" s="90"/>
      <c r="C35" s="90"/>
      <c r="D35" s="90"/>
      <c r="E35" s="90"/>
      <c r="F35" s="90"/>
      <c r="G35" s="90"/>
      <c r="H35" s="90"/>
      <c r="I35" s="90"/>
      <c r="J35" s="90"/>
      <c r="K35" s="91"/>
    </row>
    <row r="36" spans="1:11" ht="15" customHeight="1" x14ac:dyDescent="0.3">
      <c r="A36" s="89"/>
      <c r="B36" s="90"/>
      <c r="C36" s="90"/>
      <c r="D36" s="90"/>
      <c r="E36" s="90"/>
      <c r="F36" s="90"/>
      <c r="G36" s="90"/>
      <c r="H36" s="90"/>
      <c r="I36" s="90"/>
      <c r="J36" s="90"/>
      <c r="K36" s="91"/>
    </row>
    <row r="37" spans="1:11" ht="15" customHeight="1" x14ac:dyDescent="0.3">
      <c r="A37" s="89"/>
      <c r="B37" s="90"/>
      <c r="C37" s="90"/>
      <c r="D37" s="90"/>
      <c r="E37" s="90"/>
      <c r="F37" s="90"/>
      <c r="G37" s="90"/>
      <c r="H37" s="90"/>
      <c r="I37" s="90"/>
      <c r="J37" s="90"/>
      <c r="K37" s="91"/>
    </row>
    <row r="38" spans="1:11" ht="15" customHeight="1" x14ac:dyDescent="0.3">
      <c r="A38" s="92"/>
      <c r="B38" s="93"/>
      <c r="C38" s="93"/>
      <c r="D38" s="93"/>
      <c r="E38" s="93"/>
      <c r="F38" s="93"/>
      <c r="G38" s="93"/>
      <c r="H38" s="93"/>
      <c r="I38" s="93"/>
      <c r="J38" s="93"/>
      <c r="K38" s="94"/>
    </row>
  </sheetData>
  <sheetProtection formatCells="0" formatColumns="0" formatRows="0" insertColumns="0" insertRows="0" insertHyperlinks="0" deleteColumns="0" deleteRows="0" sort="0" autoFilter="0" pivotTables="0"/>
  <mergeCells count="45">
    <mergeCell ref="A1:K1"/>
    <mergeCell ref="A2:K2"/>
    <mergeCell ref="A3:K3"/>
    <mergeCell ref="A6:B6"/>
    <mergeCell ref="C6:I6"/>
    <mergeCell ref="J6:K6"/>
    <mergeCell ref="A7:B7"/>
    <mergeCell ref="C7:I7"/>
    <mergeCell ref="J7:K7"/>
    <mergeCell ref="A8:B8"/>
    <mergeCell ref="C8:I8"/>
    <mergeCell ref="J8:K8"/>
    <mergeCell ref="A9:B9"/>
    <mergeCell ref="C9:I9"/>
    <mergeCell ref="J9:K9"/>
    <mergeCell ref="A10:B10"/>
    <mergeCell ref="C10:I10"/>
    <mergeCell ref="J10:K10"/>
    <mergeCell ref="A11:B11"/>
    <mergeCell ref="C11:I11"/>
    <mergeCell ref="J11:K11"/>
    <mergeCell ref="A12:B12"/>
    <mergeCell ref="C12:I12"/>
    <mergeCell ref="J12:K12"/>
    <mergeCell ref="A13:B13"/>
    <mergeCell ref="C13:I13"/>
    <mergeCell ref="J13:K13"/>
    <mergeCell ref="A14:B14"/>
    <mergeCell ref="C14:I14"/>
    <mergeCell ref="J14:K14"/>
    <mergeCell ref="A15:B15"/>
    <mergeCell ref="C15:I15"/>
    <mergeCell ref="J15:K15"/>
    <mergeCell ref="A16:B16"/>
    <mergeCell ref="C16:I16"/>
    <mergeCell ref="J16:K16"/>
    <mergeCell ref="A22:K24"/>
    <mergeCell ref="A25:K27"/>
    <mergeCell ref="A28:K38"/>
    <mergeCell ref="A17:B17"/>
    <mergeCell ref="C17:I17"/>
    <mergeCell ref="J17:K17"/>
    <mergeCell ref="A19:K19"/>
    <mergeCell ref="A20:K20"/>
    <mergeCell ref="A21:K21"/>
  </mergeCells>
  <pageMargins left="0.7" right="0.7" top="0.75" bottom="0.75" header="0.3" footer="0.3"/>
  <pageSetup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election activeCell="H4" sqref="H4"/>
    </sheetView>
  </sheetViews>
  <sheetFormatPr defaultColWidth="9.109375" defaultRowHeight="15" customHeight="1" x14ac:dyDescent="0.3"/>
  <cols>
    <col min="1" max="1" width="12" style="2" customWidth="1"/>
    <col min="2" max="2" width="8" style="2" customWidth="1"/>
    <col min="3" max="3" width="4" style="2" customWidth="1"/>
    <col min="4" max="4" width="8" style="2" customWidth="1"/>
    <col min="5" max="6" width="21" style="2" customWidth="1"/>
    <col min="7" max="10" width="17" style="2" customWidth="1"/>
    <col min="11" max="16384" width="9.109375" style="2"/>
  </cols>
  <sheetData>
    <row r="1" spans="1:10" ht="15" customHeight="1" x14ac:dyDescent="0.3">
      <c r="A1" s="54" t="str">
        <f>CIDADE</f>
        <v>MUNICÍPIO DE FLORESTA DO PIAUI - PI</v>
      </c>
      <c r="B1" s="54"/>
      <c r="C1" s="54"/>
      <c r="D1" s="54"/>
      <c r="E1" s="54"/>
      <c r="F1" s="54"/>
      <c r="G1" s="54"/>
      <c r="H1" s="54"/>
      <c r="I1" s="54"/>
      <c r="J1" s="54"/>
    </row>
    <row r="2" spans="1:10" ht="15" customHeight="1" x14ac:dyDescent="0.3">
      <c r="A2" s="54" t="str">
        <f>OBRA</f>
        <v>INSTALAÇÕES ELÉTRICAS DE ILUMINAÇÃO DE PASSARELA DE  U E WILSON NUNES MARTINS FILHO</v>
      </c>
      <c r="B2" s="54"/>
      <c r="C2" s="54"/>
      <c r="D2" s="54"/>
      <c r="E2" s="54"/>
      <c r="F2" s="54"/>
      <c r="G2" s="54"/>
      <c r="H2" s="54"/>
      <c r="I2" s="54"/>
      <c r="J2" s="54"/>
    </row>
    <row r="3" spans="1:10" ht="15" customHeight="1" x14ac:dyDescent="0.3">
      <c r="A3" s="54" t="s">
        <v>199</v>
      </c>
      <c r="B3" s="54"/>
      <c r="C3" s="54"/>
      <c r="D3" s="54"/>
      <c r="E3" s="54"/>
      <c r="F3" s="54"/>
      <c r="G3" s="54"/>
      <c r="H3" s="54"/>
      <c r="I3" s="54"/>
      <c r="J3" s="54"/>
    </row>
    <row r="4" spans="1:10" ht="15" customHeight="1" x14ac:dyDescent="0.3">
      <c r="A4" s="5"/>
      <c r="B4" s="5"/>
      <c r="C4" s="5"/>
      <c r="D4" s="5"/>
      <c r="E4" s="5"/>
      <c r="F4" s="5"/>
      <c r="G4" s="5"/>
      <c r="H4" s="5"/>
      <c r="I4" s="5"/>
      <c r="J4" s="5"/>
    </row>
    <row r="5" spans="1:10" ht="15" customHeight="1" x14ac:dyDescent="0.3">
      <c r="A5" s="2" t="s">
        <v>3</v>
      </c>
      <c r="B5" s="4" t="str">
        <f>FONTE&amp;ONERA</f>
        <v>SINAPI PI-02/2021, SEINFRA 27, ORSE-01/2021, SEM DESONERAÇÃO</v>
      </c>
      <c r="F5" s="5"/>
      <c r="G5" s="2" t="s">
        <v>6</v>
      </c>
      <c r="H5" s="5">
        <f>LEI</f>
        <v>112.14999999999999</v>
      </c>
      <c r="I5" s="2" t="s">
        <v>7</v>
      </c>
      <c r="J5" s="5">
        <f>BDI</f>
        <v>21.25</v>
      </c>
    </row>
    <row r="6" spans="1:10" ht="15" customHeight="1" x14ac:dyDescent="0.3">
      <c r="A6" s="108" t="s">
        <v>24</v>
      </c>
      <c r="B6" s="109"/>
      <c r="C6" s="108" t="s">
        <v>8</v>
      </c>
      <c r="D6" s="112"/>
      <c r="E6" s="112"/>
      <c r="F6" s="109"/>
      <c r="G6" s="51" t="s">
        <v>5</v>
      </c>
      <c r="H6" s="53"/>
      <c r="I6" s="51" t="s">
        <v>200</v>
      </c>
      <c r="J6" s="53"/>
    </row>
    <row r="7" spans="1:10" ht="15" customHeight="1" x14ac:dyDescent="0.3">
      <c r="A7" s="110"/>
      <c r="B7" s="111"/>
      <c r="C7" s="110"/>
      <c r="D7" s="80"/>
      <c r="E7" s="80"/>
      <c r="F7" s="111"/>
      <c r="G7" s="6" t="s">
        <v>201</v>
      </c>
      <c r="H7" s="6" t="s">
        <v>202</v>
      </c>
      <c r="I7" s="6" t="s">
        <v>201</v>
      </c>
      <c r="J7" s="6" t="s">
        <v>202</v>
      </c>
    </row>
    <row r="8" spans="1:10" ht="15" customHeight="1" x14ac:dyDescent="0.3">
      <c r="A8" s="51" t="s">
        <v>203</v>
      </c>
      <c r="B8" s="52"/>
      <c r="C8" s="52"/>
      <c r="D8" s="52"/>
      <c r="E8" s="52"/>
      <c r="F8" s="52"/>
      <c r="G8" s="52"/>
      <c r="H8" s="52"/>
      <c r="I8" s="52"/>
      <c r="J8" s="53"/>
    </row>
    <row r="9" spans="1:10" ht="15" customHeight="1" x14ac:dyDescent="0.3">
      <c r="A9" s="99" t="s">
        <v>204</v>
      </c>
      <c r="B9" s="100"/>
      <c r="C9" s="99" t="s">
        <v>205</v>
      </c>
      <c r="D9" s="107"/>
      <c r="E9" s="107"/>
      <c r="F9" s="100"/>
      <c r="G9" s="13">
        <v>0</v>
      </c>
      <c r="H9" s="13">
        <v>0</v>
      </c>
      <c r="I9" s="13">
        <v>0.2</v>
      </c>
      <c r="J9" s="13">
        <v>0.2</v>
      </c>
    </row>
    <row r="10" spans="1:10" ht="15" customHeight="1" x14ac:dyDescent="0.3">
      <c r="A10" s="99" t="s">
        <v>206</v>
      </c>
      <c r="B10" s="100"/>
      <c r="C10" s="99" t="s">
        <v>207</v>
      </c>
      <c r="D10" s="107"/>
      <c r="E10" s="107"/>
      <c r="F10" s="100"/>
      <c r="G10" s="13">
        <v>1.4999999999999999E-2</v>
      </c>
      <c r="H10" s="13">
        <v>1.4999999999999999E-2</v>
      </c>
      <c r="I10" s="13">
        <v>1.4999999999999999E-2</v>
      </c>
      <c r="J10" s="13">
        <v>1.4999999999999999E-2</v>
      </c>
    </row>
    <row r="11" spans="1:10" ht="15" customHeight="1" x14ac:dyDescent="0.3">
      <c r="A11" s="99" t="s">
        <v>208</v>
      </c>
      <c r="B11" s="100"/>
      <c r="C11" s="99" t="s">
        <v>209</v>
      </c>
      <c r="D11" s="107"/>
      <c r="E11" s="107"/>
      <c r="F11" s="100"/>
      <c r="G11" s="13">
        <v>0.01</v>
      </c>
      <c r="H11" s="13">
        <v>0.01</v>
      </c>
      <c r="I11" s="13">
        <v>0.01</v>
      </c>
      <c r="J11" s="13">
        <v>0.01</v>
      </c>
    </row>
    <row r="12" spans="1:10" ht="15" customHeight="1" x14ac:dyDescent="0.3">
      <c r="A12" s="99" t="s">
        <v>210</v>
      </c>
      <c r="B12" s="100"/>
      <c r="C12" s="99" t="s">
        <v>211</v>
      </c>
      <c r="D12" s="107"/>
      <c r="E12" s="107"/>
      <c r="F12" s="100"/>
      <c r="G12" s="13">
        <v>2E-3</v>
      </c>
      <c r="H12" s="13">
        <v>2E-3</v>
      </c>
      <c r="I12" s="13">
        <v>2E-3</v>
      </c>
      <c r="J12" s="13">
        <v>2E-3</v>
      </c>
    </row>
    <row r="13" spans="1:10" ht="15" customHeight="1" x14ac:dyDescent="0.3">
      <c r="A13" s="99" t="s">
        <v>212</v>
      </c>
      <c r="B13" s="100"/>
      <c r="C13" s="99" t="s">
        <v>213</v>
      </c>
      <c r="D13" s="107"/>
      <c r="E13" s="107"/>
      <c r="F13" s="100"/>
      <c r="G13" s="13">
        <v>6.0000000000000001E-3</v>
      </c>
      <c r="H13" s="13">
        <v>6.0000000000000001E-3</v>
      </c>
      <c r="I13" s="13">
        <v>6.0000000000000001E-3</v>
      </c>
      <c r="J13" s="13">
        <v>6.0000000000000001E-3</v>
      </c>
    </row>
    <row r="14" spans="1:10" ht="15" customHeight="1" x14ac:dyDescent="0.3">
      <c r="A14" s="99" t="s">
        <v>214</v>
      </c>
      <c r="B14" s="100"/>
      <c r="C14" s="99" t="s">
        <v>215</v>
      </c>
      <c r="D14" s="107"/>
      <c r="E14" s="107"/>
      <c r="F14" s="100"/>
      <c r="G14" s="13">
        <v>2.5000000000000001E-2</v>
      </c>
      <c r="H14" s="13">
        <v>2.5000000000000001E-2</v>
      </c>
      <c r="I14" s="13">
        <v>2.5000000000000001E-2</v>
      </c>
      <c r="J14" s="13">
        <v>2.5000000000000001E-2</v>
      </c>
    </row>
    <row r="15" spans="1:10" ht="15" customHeight="1" x14ac:dyDescent="0.3">
      <c r="A15" s="99" t="s">
        <v>216</v>
      </c>
      <c r="B15" s="100"/>
      <c r="C15" s="99" t="s">
        <v>217</v>
      </c>
      <c r="D15" s="107"/>
      <c r="E15" s="107"/>
      <c r="F15" s="100"/>
      <c r="G15" s="13">
        <v>0.03</v>
      </c>
      <c r="H15" s="13">
        <v>0.03</v>
      </c>
      <c r="I15" s="13">
        <v>0.03</v>
      </c>
      <c r="J15" s="13">
        <v>0.03</v>
      </c>
    </row>
    <row r="16" spans="1:10" ht="15" customHeight="1" x14ac:dyDescent="0.3">
      <c r="A16" s="99" t="s">
        <v>218</v>
      </c>
      <c r="B16" s="100"/>
      <c r="C16" s="99" t="s">
        <v>219</v>
      </c>
      <c r="D16" s="107"/>
      <c r="E16" s="107"/>
      <c r="F16" s="100"/>
      <c r="G16" s="13">
        <v>0.08</v>
      </c>
      <c r="H16" s="13">
        <v>0.08</v>
      </c>
      <c r="I16" s="13">
        <v>0.08</v>
      </c>
      <c r="J16" s="13">
        <v>0.08</v>
      </c>
    </row>
    <row r="17" spans="1:10" ht="15" customHeight="1" x14ac:dyDescent="0.3">
      <c r="A17" s="99" t="s">
        <v>220</v>
      </c>
      <c r="B17" s="100"/>
      <c r="C17" s="99" t="s">
        <v>221</v>
      </c>
      <c r="D17" s="107"/>
      <c r="E17" s="107"/>
      <c r="F17" s="100"/>
      <c r="G17" s="13">
        <v>0</v>
      </c>
      <c r="H17" s="13">
        <v>0</v>
      </c>
      <c r="I17" s="13">
        <v>0</v>
      </c>
      <c r="J17" s="13">
        <v>0</v>
      </c>
    </row>
    <row r="18" spans="1:10" ht="15" customHeight="1" x14ac:dyDescent="0.3">
      <c r="A18" s="99" t="s">
        <v>222</v>
      </c>
      <c r="B18" s="100"/>
      <c r="C18" s="99" t="s">
        <v>22</v>
      </c>
      <c r="D18" s="107"/>
      <c r="E18" s="107"/>
      <c r="F18" s="100"/>
      <c r="G18" s="13">
        <f>SUM(G9:G17)</f>
        <v>0.16799999999999998</v>
      </c>
      <c r="H18" s="13">
        <f>SUM(H9:H17)</f>
        <v>0.16799999999999998</v>
      </c>
      <c r="I18" s="13">
        <f>SUM(I9:I17)</f>
        <v>0.36800000000000005</v>
      </c>
      <c r="J18" s="13">
        <f>SUM(J9:J17)</f>
        <v>0.36800000000000005</v>
      </c>
    </row>
    <row r="19" spans="1:10" ht="15" customHeight="1" x14ac:dyDescent="0.3">
      <c r="A19" s="51" t="s">
        <v>223</v>
      </c>
      <c r="B19" s="52"/>
      <c r="C19" s="52"/>
      <c r="D19" s="52"/>
      <c r="E19" s="52"/>
      <c r="F19" s="52"/>
      <c r="G19" s="52"/>
      <c r="H19" s="52"/>
      <c r="I19" s="52"/>
      <c r="J19" s="53"/>
    </row>
    <row r="20" spans="1:10" ht="15" customHeight="1" x14ac:dyDescent="0.3">
      <c r="A20" s="99" t="s">
        <v>224</v>
      </c>
      <c r="B20" s="100"/>
      <c r="C20" s="99" t="s">
        <v>225</v>
      </c>
      <c r="D20" s="107"/>
      <c r="E20" s="107"/>
      <c r="F20" s="100"/>
      <c r="G20" s="13">
        <v>0.1782</v>
      </c>
      <c r="H20" s="13" t="s">
        <v>226</v>
      </c>
      <c r="I20" s="13">
        <v>0.1782</v>
      </c>
      <c r="J20" s="13" t="s">
        <v>226</v>
      </c>
    </row>
    <row r="21" spans="1:10" ht="15" customHeight="1" x14ac:dyDescent="0.3">
      <c r="A21" s="99" t="s">
        <v>227</v>
      </c>
      <c r="B21" s="100"/>
      <c r="C21" s="99" t="s">
        <v>228</v>
      </c>
      <c r="D21" s="107"/>
      <c r="E21" s="107"/>
      <c r="F21" s="100"/>
      <c r="G21" s="13">
        <v>3.95E-2</v>
      </c>
      <c r="H21" s="13" t="s">
        <v>226</v>
      </c>
      <c r="I21" s="13">
        <v>3.95E-2</v>
      </c>
      <c r="J21" s="13" t="s">
        <v>226</v>
      </c>
    </row>
    <row r="22" spans="1:10" ht="15" customHeight="1" x14ac:dyDescent="0.3">
      <c r="A22" s="99" t="s">
        <v>229</v>
      </c>
      <c r="B22" s="100"/>
      <c r="C22" s="99" t="s">
        <v>230</v>
      </c>
      <c r="D22" s="107"/>
      <c r="E22" s="107"/>
      <c r="F22" s="100"/>
      <c r="G22" s="13">
        <v>8.6999999999999994E-3</v>
      </c>
      <c r="H22" s="13">
        <v>6.7000000000000002E-3</v>
      </c>
      <c r="I22" s="13">
        <v>8.6999999999999994E-3</v>
      </c>
      <c r="J22" s="13">
        <v>6.7000000000000002E-3</v>
      </c>
    </row>
    <row r="23" spans="1:10" ht="15" customHeight="1" x14ac:dyDescent="0.3">
      <c r="A23" s="99" t="s">
        <v>231</v>
      </c>
      <c r="B23" s="100"/>
      <c r="C23" s="99" t="s">
        <v>232</v>
      </c>
      <c r="D23" s="107"/>
      <c r="E23" s="107"/>
      <c r="F23" s="100"/>
      <c r="G23" s="13">
        <v>0.1076</v>
      </c>
      <c r="H23" s="13">
        <v>8.3299999999999999E-2</v>
      </c>
      <c r="I23" s="13">
        <v>0.1076</v>
      </c>
      <c r="J23" s="13">
        <v>8.3299999999999999E-2</v>
      </c>
    </row>
    <row r="24" spans="1:10" ht="15" customHeight="1" x14ac:dyDescent="0.3">
      <c r="A24" s="99" t="s">
        <v>233</v>
      </c>
      <c r="B24" s="100"/>
      <c r="C24" s="99" t="s">
        <v>234</v>
      </c>
      <c r="D24" s="107"/>
      <c r="E24" s="107"/>
      <c r="F24" s="100"/>
      <c r="G24" s="13">
        <v>6.9999999999999999E-4</v>
      </c>
      <c r="H24" s="13">
        <v>5.9999999999999995E-4</v>
      </c>
      <c r="I24" s="13">
        <v>6.9999999999999999E-4</v>
      </c>
      <c r="J24" s="13">
        <v>5.9999999999999995E-4</v>
      </c>
    </row>
    <row r="25" spans="1:10" ht="15" customHeight="1" x14ac:dyDescent="0.3">
      <c r="A25" s="99" t="s">
        <v>235</v>
      </c>
      <c r="B25" s="100"/>
      <c r="C25" s="99" t="s">
        <v>236</v>
      </c>
      <c r="D25" s="107"/>
      <c r="E25" s="107"/>
      <c r="F25" s="100"/>
      <c r="G25" s="13">
        <v>7.1999999999999998E-3</v>
      </c>
      <c r="H25" s="13">
        <v>5.5999999999999999E-3</v>
      </c>
      <c r="I25" s="13">
        <v>7.1999999999999998E-3</v>
      </c>
      <c r="J25" s="13">
        <v>5.5999999999999999E-3</v>
      </c>
    </row>
    <row r="26" spans="1:10" ht="15" customHeight="1" x14ac:dyDescent="0.3">
      <c r="A26" s="99" t="s">
        <v>237</v>
      </c>
      <c r="B26" s="100"/>
      <c r="C26" s="99" t="s">
        <v>238</v>
      </c>
      <c r="D26" s="107"/>
      <c r="E26" s="107"/>
      <c r="F26" s="100"/>
      <c r="G26" s="13">
        <v>1.1599999999999999E-2</v>
      </c>
      <c r="H26" s="13" t="s">
        <v>226</v>
      </c>
      <c r="I26" s="13">
        <v>1.1599999999999999E-2</v>
      </c>
      <c r="J26" s="13" t="s">
        <v>226</v>
      </c>
    </row>
    <row r="27" spans="1:10" ht="15" customHeight="1" x14ac:dyDescent="0.3">
      <c r="A27" s="99" t="s">
        <v>239</v>
      </c>
      <c r="B27" s="100"/>
      <c r="C27" s="99" t="s">
        <v>240</v>
      </c>
      <c r="D27" s="107"/>
      <c r="E27" s="107"/>
      <c r="F27" s="100"/>
      <c r="G27" s="13">
        <v>1.1000000000000001E-3</v>
      </c>
      <c r="H27" s="13">
        <v>8.0000000000000004E-4</v>
      </c>
      <c r="I27" s="13">
        <v>1.1000000000000001E-3</v>
      </c>
      <c r="J27" s="13">
        <v>8.0000000000000004E-4</v>
      </c>
    </row>
    <row r="28" spans="1:10" ht="15" customHeight="1" x14ac:dyDescent="0.3">
      <c r="A28" s="99" t="s">
        <v>241</v>
      </c>
      <c r="B28" s="100"/>
      <c r="C28" s="99" t="s">
        <v>242</v>
      </c>
      <c r="D28" s="107"/>
      <c r="E28" s="107"/>
      <c r="F28" s="100"/>
      <c r="G28" s="13">
        <v>8.3500000000000005E-2</v>
      </c>
      <c r="H28" s="13">
        <v>6.4699999999999994E-2</v>
      </c>
      <c r="I28" s="13">
        <v>8.3500000000000005E-2</v>
      </c>
      <c r="J28" s="13">
        <v>6.4699999999999994E-2</v>
      </c>
    </row>
    <row r="29" spans="1:10" ht="15" customHeight="1" x14ac:dyDescent="0.3">
      <c r="A29" s="99" t="s">
        <v>243</v>
      </c>
      <c r="B29" s="100"/>
      <c r="C29" s="99" t="s">
        <v>244</v>
      </c>
      <c r="D29" s="107"/>
      <c r="E29" s="107"/>
      <c r="F29" s="100"/>
      <c r="G29" s="13">
        <v>2.9999999999999997E-4</v>
      </c>
      <c r="H29" s="13">
        <v>2.9999999999999997E-4</v>
      </c>
      <c r="I29" s="13">
        <v>2.9999999999999997E-4</v>
      </c>
      <c r="J29" s="13">
        <v>2.9999999999999997E-4</v>
      </c>
    </row>
    <row r="30" spans="1:10" ht="15" customHeight="1" x14ac:dyDescent="0.3">
      <c r="A30" s="99" t="s">
        <v>245</v>
      </c>
      <c r="B30" s="100"/>
      <c r="C30" s="99" t="s">
        <v>22</v>
      </c>
      <c r="D30" s="107"/>
      <c r="E30" s="107"/>
      <c r="F30" s="100"/>
      <c r="G30" s="13">
        <f>SUM(G20:G29)</f>
        <v>0.43839999999999996</v>
      </c>
      <c r="H30" s="13">
        <f>SUM(H20:H29)</f>
        <v>0.16199999999999998</v>
      </c>
      <c r="I30" s="13">
        <f>SUM(I20:I29)</f>
        <v>0.43839999999999996</v>
      </c>
      <c r="J30" s="13">
        <f>SUM(J20:J29)</f>
        <v>0.16199999999999998</v>
      </c>
    </row>
    <row r="31" spans="1:10" ht="15" customHeight="1" x14ac:dyDescent="0.3">
      <c r="A31" s="51" t="s">
        <v>246</v>
      </c>
      <c r="B31" s="52"/>
      <c r="C31" s="52"/>
      <c r="D31" s="52"/>
      <c r="E31" s="52"/>
      <c r="F31" s="52"/>
      <c r="G31" s="52"/>
      <c r="H31" s="52"/>
      <c r="I31" s="52"/>
      <c r="J31" s="53"/>
    </row>
    <row r="32" spans="1:10" ht="15" customHeight="1" x14ac:dyDescent="0.3">
      <c r="A32" s="99" t="s">
        <v>247</v>
      </c>
      <c r="B32" s="100"/>
      <c r="C32" s="99" t="s">
        <v>248</v>
      </c>
      <c r="D32" s="107"/>
      <c r="E32" s="107"/>
      <c r="F32" s="100"/>
      <c r="G32" s="13">
        <v>5.1999999999999998E-2</v>
      </c>
      <c r="H32" s="13">
        <v>4.0300000000000002E-2</v>
      </c>
      <c r="I32" s="13">
        <v>5.1999999999999998E-2</v>
      </c>
      <c r="J32" s="13">
        <v>4.0300000000000002E-2</v>
      </c>
    </row>
    <row r="33" spans="1:10" ht="15" customHeight="1" x14ac:dyDescent="0.3">
      <c r="A33" s="99" t="s">
        <v>249</v>
      </c>
      <c r="B33" s="100"/>
      <c r="C33" s="99" t="s">
        <v>250</v>
      </c>
      <c r="D33" s="107"/>
      <c r="E33" s="107"/>
      <c r="F33" s="100"/>
      <c r="G33" s="13">
        <v>1.1999999999999999E-3</v>
      </c>
      <c r="H33" s="13">
        <v>8.9999999999999998E-4</v>
      </c>
      <c r="I33" s="13">
        <v>1.1999999999999999E-3</v>
      </c>
      <c r="J33" s="13">
        <v>8.9999999999999998E-4</v>
      </c>
    </row>
    <row r="34" spans="1:10" ht="15" customHeight="1" x14ac:dyDescent="0.3">
      <c r="A34" s="99" t="s">
        <v>251</v>
      </c>
      <c r="B34" s="100"/>
      <c r="C34" s="99" t="s">
        <v>252</v>
      </c>
      <c r="D34" s="107"/>
      <c r="E34" s="107"/>
      <c r="F34" s="100"/>
      <c r="G34" s="13">
        <v>5.2600000000000001E-2</v>
      </c>
      <c r="H34" s="13">
        <v>4.07E-2</v>
      </c>
      <c r="I34" s="13">
        <v>5.2600000000000001E-2</v>
      </c>
      <c r="J34" s="13">
        <v>4.07E-2</v>
      </c>
    </row>
    <row r="35" spans="1:10" ht="15" customHeight="1" x14ac:dyDescent="0.3">
      <c r="A35" s="99" t="s">
        <v>253</v>
      </c>
      <c r="B35" s="100"/>
      <c r="C35" s="99" t="s">
        <v>254</v>
      </c>
      <c r="D35" s="107"/>
      <c r="E35" s="107"/>
      <c r="F35" s="100"/>
      <c r="G35" s="13">
        <v>3.9E-2</v>
      </c>
      <c r="H35" s="13">
        <v>3.0200000000000001E-2</v>
      </c>
      <c r="I35" s="13">
        <v>3.9E-2</v>
      </c>
      <c r="J35" s="13">
        <v>3.0200000000000001E-2</v>
      </c>
    </row>
    <row r="36" spans="1:10" ht="15" customHeight="1" x14ac:dyDescent="0.3">
      <c r="A36" s="99" t="s">
        <v>255</v>
      </c>
      <c r="B36" s="100"/>
      <c r="C36" s="99" t="s">
        <v>256</v>
      </c>
      <c r="D36" s="107"/>
      <c r="E36" s="107"/>
      <c r="F36" s="100"/>
      <c r="G36" s="13">
        <v>4.4000000000000003E-3</v>
      </c>
      <c r="H36" s="13">
        <v>3.3999999999999998E-3</v>
      </c>
      <c r="I36" s="13">
        <v>4.4000000000000003E-3</v>
      </c>
      <c r="J36" s="13">
        <v>3.3999999999999998E-3</v>
      </c>
    </row>
    <row r="37" spans="1:10" ht="15" customHeight="1" x14ac:dyDescent="0.3">
      <c r="A37" s="99" t="s">
        <v>257</v>
      </c>
      <c r="B37" s="100"/>
      <c r="C37" s="99" t="s">
        <v>22</v>
      </c>
      <c r="D37" s="107"/>
      <c r="E37" s="107"/>
      <c r="F37" s="100"/>
      <c r="G37" s="13">
        <f>SUM(G32:G36)</f>
        <v>0.1492</v>
      </c>
      <c r="H37" s="13">
        <f>SUM(H32:H36)</f>
        <v>0.11550000000000001</v>
      </c>
      <c r="I37" s="13">
        <f>SUM(I32:I36)</f>
        <v>0.1492</v>
      </c>
      <c r="J37" s="13">
        <f>SUM(J32:J36)</f>
        <v>0.11550000000000001</v>
      </c>
    </row>
    <row r="38" spans="1:10" ht="15" customHeight="1" x14ac:dyDescent="0.3">
      <c r="A38" s="51" t="s">
        <v>258</v>
      </c>
      <c r="B38" s="52"/>
      <c r="C38" s="52"/>
      <c r="D38" s="52"/>
      <c r="E38" s="52"/>
      <c r="F38" s="52"/>
      <c r="G38" s="52"/>
      <c r="H38" s="52"/>
      <c r="I38" s="52"/>
      <c r="J38" s="53"/>
    </row>
    <row r="39" spans="1:10" ht="15" customHeight="1" x14ac:dyDescent="0.3">
      <c r="A39" s="99" t="s">
        <v>259</v>
      </c>
      <c r="B39" s="100"/>
      <c r="C39" s="99" t="s">
        <v>260</v>
      </c>
      <c r="D39" s="107"/>
      <c r="E39" s="107"/>
      <c r="F39" s="100"/>
      <c r="G39" s="13">
        <v>7.3700000000000002E-2</v>
      </c>
      <c r="H39" s="13">
        <v>2.7199999999999998E-2</v>
      </c>
      <c r="I39" s="13">
        <v>0.1613</v>
      </c>
      <c r="J39" s="13">
        <v>5.96E-2</v>
      </c>
    </row>
    <row r="40" spans="1:10" ht="45" customHeight="1" x14ac:dyDescent="0.3">
      <c r="A40" s="99" t="s">
        <v>261</v>
      </c>
      <c r="B40" s="100"/>
      <c r="C40" s="99" t="s">
        <v>262</v>
      </c>
      <c r="D40" s="107"/>
      <c r="E40" s="107"/>
      <c r="F40" s="100"/>
      <c r="G40" s="13">
        <v>4.4000000000000003E-3</v>
      </c>
      <c r="H40" s="13">
        <v>3.3999999999999998E-3</v>
      </c>
      <c r="I40" s="13">
        <v>4.5999999999999999E-3</v>
      </c>
      <c r="J40" s="13">
        <v>3.5999999999999999E-3</v>
      </c>
    </row>
    <row r="41" spans="1:10" ht="15" customHeight="1" x14ac:dyDescent="0.3">
      <c r="A41" s="99" t="s">
        <v>263</v>
      </c>
      <c r="B41" s="100"/>
      <c r="C41" s="99" t="s">
        <v>22</v>
      </c>
      <c r="D41" s="107"/>
      <c r="E41" s="107"/>
      <c r="F41" s="100"/>
      <c r="G41" s="13">
        <f>SUM(G39:G40)</f>
        <v>7.8100000000000003E-2</v>
      </c>
      <c r="H41" s="13">
        <f>SUM(H39:H40)</f>
        <v>3.0599999999999999E-2</v>
      </c>
      <c r="I41" s="13">
        <f>SUM(I39:I40)</f>
        <v>0.16589999999999999</v>
      </c>
      <c r="J41" s="13">
        <f>SUM(J39:J40)</f>
        <v>6.3200000000000006E-2</v>
      </c>
    </row>
    <row r="42" spans="1:10" ht="15" customHeight="1" x14ac:dyDescent="0.3">
      <c r="A42" s="51" t="s">
        <v>264</v>
      </c>
      <c r="B42" s="52"/>
      <c r="C42" s="52"/>
      <c r="D42" s="52"/>
      <c r="E42" s="52"/>
      <c r="F42" s="52"/>
      <c r="G42" s="52"/>
      <c r="H42" s="52"/>
      <c r="I42" s="52"/>
      <c r="J42" s="53"/>
    </row>
    <row r="43" spans="1:10" ht="15" customHeight="1" x14ac:dyDescent="0.3">
      <c r="A43" s="51" t="s">
        <v>22</v>
      </c>
      <c r="B43" s="52"/>
      <c r="C43" s="52"/>
      <c r="D43" s="52"/>
      <c r="E43" s="52"/>
      <c r="F43" s="53"/>
      <c r="G43" s="15">
        <f>G18+G30+G37+G41</f>
        <v>0.83369999999999989</v>
      </c>
      <c r="H43" s="15">
        <f>H18+H30+H37+H41</f>
        <v>0.47609999999999997</v>
      </c>
      <c r="I43" s="15">
        <f>I18+I30+I37+I41</f>
        <v>1.1214999999999999</v>
      </c>
      <c r="J43" s="15">
        <f>J18+J30+J37+J41</f>
        <v>0.70870000000000011</v>
      </c>
    </row>
    <row r="44" spans="1:10" ht="15" customHeight="1" x14ac:dyDescent="0.3">
      <c r="A44" s="106" t="s">
        <v>265</v>
      </c>
      <c r="B44" s="106"/>
      <c r="C44" s="106"/>
      <c r="D44" s="106"/>
      <c r="E44" s="106"/>
      <c r="F44" s="106"/>
      <c r="G44" s="106"/>
      <c r="H44" s="106"/>
      <c r="I44" s="106"/>
      <c r="J44" s="106"/>
    </row>
  </sheetData>
  <sheetProtection formatCells="0" formatColumns="0" formatRows="0" insertColumns="0" insertRows="0" insertHyperlinks="0" deleteColumns="0" deleteRows="0" sort="0" autoFilter="0" pivotTables="0"/>
  <mergeCells count="74">
    <mergeCell ref="A11:B11"/>
    <mergeCell ref="C11:F11"/>
    <mergeCell ref="A1:J1"/>
    <mergeCell ref="A2:J2"/>
    <mergeCell ref="A3:J3"/>
    <mergeCell ref="A6:B7"/>
    <mergeCell ref="C6:F7"/>
    <mergeCell ref="G6:H6"/>
    <mergeCell ref="I6:J6"/>
    <mergeCell ref="A8:J8"/>
    <mergeCell ref="A9:B9"/>
    <mergeCell ref="C9:F9"/>
    <mergeCell ref="A10:B10"/>
    <mergeCell ref="C10:F10"/>
    <mergeCell ref="A12:B12"/>
    <mergeCell ref="C12:F12"/>
    <mergeCell ref="A13:B13"/>
    <mergeCell ref="C13:F13"/>
    <mergeCell ref="A14:B14"/>
    <mergeCell ref="C14:F14"/>
    <mergeCell ref="A21:B21"/>
    <mergeCell ref="C21:F21"/>
    <mergeCell ref="A15:B15"/>
    <mergeCell ref="C15:F15"/>
    <mergeCell ref="A16:B16"/>
    <mergeCell ref="C16:F16"/>
    <mergeCell ref="A17:B17"/>
    <mergeCell ref="C17:F17"/>
    <mergeCell ref="A18:B18"/>
    <mergeCell ref="C18:F18"/>
    <mergeCell ref="A19:J19"/>
    <mergeCell ref="A20:B20"/>
    <mergeCell ref="C20:F20"/>
    <mergeCell ref="A22:B22"/>
    <mergeCell ref="C22:F22"/>
    <mergeCell ref="A23:B23"/>
    <mergeCell ref="C23:F23"/>
    <mergeCell ref="A24:B24"/>
    <mergeCell ref="C24:F24"/>
    <mergeCell ref="A25:B25"/>
    <mergeCell ref="C25:F25"/>
    <mergeCell ref="A26:B26"/>
    <mergeCell ref="C26:F26"/>
    <mergeCell ref="A27:B27"/>
    <mergeCell ref="C27:F27"/>
    <mergeCell ref="A34:B34"/>
    <mergeCell ref="C34:F34"/>
    <mergeCell ref="A28:B28"/>
    <mergeCell ref="C28:F28"/>
    <mergeCell ref="A29:B29"/>
    <mergeCell ref="C29:F29"/>
    <mergeCell ref="A30:B30"/>
    <mergeCell ref="C30:F30"/>
    <mergeCell ref="A31:J31"/>
    <mergeCell ref="A32:B32"/>
    <mergeCell ref="C32:F32"/>
    <mergeCell ref="A33:B33"/>
    <mergeCell ref="C33:F33"/>
    <mergeCell ref="A35:B35"/>
    <mergeCell ref="C35:F35"/>
    <mergeCell ref="A36:B36"/>
    <mergeCell ref="C36:F36"/>
    <mergeCell ref="A37:B37"/>
    <mergeCell ref="C37:F37"/>
    <mergeCell ref="A42:J42"/>
    <mergeCell ref="A43:F43"/>
    <mergeCell ref="A44:J44"/>
    <mergeCell ref="A38:J38"/>
    <mergeCell ref="A39:B39"/>
    <mergeCell ref="C39:F39"/>
    <mergeCell ref="A40:B40"/>
    <mergeCell ref="C40:F40"/>
    <mergeCell ref="A41:B41"/>
    <mergeCell ref="C41:F41"/>
  </mergeCells>
  <pageMargins left="0.7" right="0.7" top="0.75" bottom="0.75" header="0.3" footer="0.3"/>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election activeCell="B2" sqref="B2"/>
    </sheetView>
  </sheetViews>
  <sheetFormatPr defaultRowHeight="15" customHeight="1" x14ac:dyDescent="0.3"/>
  <cols>
    <col min="1" max="1" width="17.109375" style="2" customWidth="1"/>
    <col min="2" max="2" width="102.88671875" style="2" customWidth="1"/>
    <col min="3" max="3" width="11.44140625" style="2" customWidth="1"/>
    <col min="4" max="6" width="17.109375" style="2" customWidth="1"/>
  </cols>
  <sheetData>
    <row r="1" spans="1:6" ht="15" customHeight="1" x14ac:dyDescent="0.3">
      <c r="A1" s="6" t="s">
        <v>266</v>
      </c>
      <c r="B1" s="6" t="s">
        <v>267</v>
      </c>
      <c r="C1" s="6" t="s">
        <v>268</v>
      </c>
      <c r="D1" s="6" t="s">
        <v>269</v>
      </c>
      <c r="E1" s="6" t="s">
        <v>270</v>
      </c>
      <c r="F1" s="6" t="s">
        <v>271</v>
      </c>
    </row>
    <row r="2" spans="1:6" ht="15" customHeight="1" x14ac:dyDescent="0.3">
      <c r="A2" s="19">
        <v>88238</v>
      </c>
      <c r="B2" s="9" t="s">
        <v>272</v>
      </c>
      <c r="C2" s="34" t="s">
        <v>273</v>
      </c>
      <c r="D2" s="18">
        <f t="shared" ref="D2:D33" si="0">IF(ONERA="COM DESONERAÇÃO",E2,F2)</f>
        <v>15.19</v>
      </c>
      <c r="E2" s="18">
        <v>13.77</v>
      </c>
      <c r="F2" s="18">
        <v>15.19</v>
      </c>
    </row>
    <row r="3" spans="1:6" ht="15" customHeight="1" x14ac:dyDescent="0.3">
      <c r="A3" s="19">
        <v>88239</v>
      </c>
      <c r="B3" s="9" t="s">
        <v>274</v>
      </c>
      <c r="C3" s="34" t="s">
        <v>273</v>
      </c>
      <c r="D3" s="18">
        <f t="shared" si="0"/>
        <v>16.47</v>
      </c>
      <c r="E3" s="18">
        <v>14.85</v>
      </c>
      <c r="F3" s="18">
        <v>16.47</v>
      </c>
    </row>
    <row r="4" spans="1:6" ht="15" customHeight="1" x14ac:dyDescent="0.3">
      <c r="A4" s="19">
        <v>92783</v>
      </c>
      <c r="B4" s="9" t="s">
        <v>275</v>
      </c>
      <c r="C4" s="34" t="s">
        <v>276</v>
      </c>
      <c r="D4" s="18">
        <f t="shared" si="0"/>
        <v>15.32</v>
      </c>
      <c r="E4" s="18">
        <v>14.68</v>
      </c>
      <c r="F4" s="18">
        <v>15.32</v>
      </c>
    </row>
    <row r="5" spans="1:6" ht="15" customHeight="1" x14ac:dyDescent="0.3">
      <c r="A5" s="19">
        <v>88245</v>
      </c>
      <c r="B5" s="9" t="s">
        <v>277</v>
      </c>
      <c r="C5" s="34" t="s">
        <v>273</v>
      </c>
      <c r="D5" s="18">
        <f t="shared" si="0"/>
        <v>19.75</v>
      </c>
      <c r="E5" s="18">
        <v>17.7</v>
      </c>
      <c r="F5" s="18">
        <v>19.75</v>
      </c>
    </row>
    <row r="6" spans="1:6" ht="15" customHeight="1" x14ac:dyDescent="0.3">
      <c r="A6" s="19">
        <v>88247</v>
      </c>
      <c r="B6" s="9" t="s">
        <v>278</v>
      </c>
      <c r="C6" s="34" t="s">
        <v>273</v>
      </c>
      <c r="D6" s="18">
        <f t="shared" si="0"/>
        <v>15.47</v>
      </c>
      <c r="E6" s="18">
        <v>14.01</v>
      </c>
      <c r="F6" s="18">
        <v>15.47</v>
      </c>
    </row>
    <row r="7" spans="1:6" ht="15" customHeight="1" x14ac:dyDescent="0.3">
      <c r="A7" s="19">
        <v>88248</v>
      </c>
      <c r="B7" s="9" t="s">
        <v>279</v>
      </c>
      <c r="C7" s="34" t="s">
        <v>273</v>
      </c>
      <c r="D7" s="18">
        <f t="shared" si="0"/>
        <v>14.96</v>
      </c>
      <c r="E7" s="18">
        <v>13.51</v>
      </c>
      <c r="F7" s="18">
        <v>14.96</v>
      </c>
    </row>
    <row r="8" spans="1:6" ht="15" customHeight="1" x14ac:dyDescent="0.3">
      <c r="A8" s="19">
        <v>89226</v>
      </c>
      <c r="B8" s="9" t="s">
        <v>280</v>
      </c>
      <c r="C8" s="34" t="s">
        <v>281</v>
      </c>
      <c r="D8" s="18">
        <f t="shared" si="0"/>
        <v>1.3</v>
      </c>
      <c r="E8" s="18">
        <v>1.3</v>
      </c>
      <c r="F8" s="18">
        <v>1.3</v>
      </c>
    </row>
    <row r="9" spans="1:6" ht="15" customHeight="1" x14ac:dyDescent="0.3">
      <c r="A9" s="19">
        <v>89225</v>
      </c>
      <c r="B9" s="9" t="s">
        <v>282</v>
      </c>
      <c r="C9" s="34" t="s">
        <v>283</v>
      </c>
      <c r="D9" s="18">
        <f t="shared" si="0"/>
        <v>4.29</v>
      </c>
      <c r="E9" s="18">
        <v>4.29</v>
      </c>
      <c r="F9" s="18">
        <v>4.29</v>
      </c>
    </row>
    <row r="10" spans="1:6" ht="15" customHeight="1" x14ac:dyDescent="0.3">
      <c r="A10" s="19">
        <v>89221</v>
      </c>
      <c r="B10" s="9" t="s">
        <v>284</v>
      </c>
      <c r="C10" s="34" t="s">
        <v>273</v>
      </c>
      <c r="D10" s="18">
        <f t="shared" si="0"/>
        <v>1.17</v>
      </c>
      <c r="E10" s="18">
        <v>1.17</v>
      </c>
      <c r="F10" s="18">
        <v>1.17</v>
      </c>
    </row>
    <row r="11" spans="1:6" ht="15" customHeight="1" x14ac:dyDescent="0.3">
      <c r="A11" s="19">
        <v>89222</v>
      </c>
      <c r="B11" s="9" t="s">
        <v>285</v>
      </c>
      <c r="C11" s="34" t="s">
        <v>273</v>
      </c>
      <c r="D11" s="18">
        <f t="shared" si="0"/>
        <v>0.13</v>
      </c>
      <c r="E11" s="18">
        <v>0.13</v>
      </c>
      <c r="F11" s="18">
        <v>0.13</v>
      </c>
    </row>
    <row r="12" spans="1:6" ht="15" customHeight="1" x14ac:dyDescent="0.3">
      <c r="A12" s="19">
        <v>89223</v>
      </c>
      <c r="B12" s="9" t="s">
        <v>286</v>
      </c>
      <c r="C12" s="34" t="s">
        <v>273</v>
      </c>
      <c r="D12" s="18">
        <f t="shared" si="0"/>
        <v>1.0900000000000001</v>
      </c>
      <c r="E12" s="18">
        <v>1.0900000000000001</v>
      </c>
      <c r="F12" s="18">
        <v>1.0900000000000001</v>
      </c>
    </row>
    <row r="13" spans="1:6" ht="15" customHeight="1" x14ac:dyDescent="0.3">
      <c r="A13" s="19">
        <v>89224</v>
      </c>
      <c r="B13" s="9" t="s">
        <v>287</v>
      </c>
      <c r="C13" s="34" t="s">
        <v>273</v>
      </c>
      <c r="D13" s="18">
        <f t="shared" si="0"/>
        <v>1.9</v>
      </c>
      <c r="E13" s="18">
        <v>1.9</v>
      </c>
      <c r="F13" s="18">
        <v>1.9</v>
      </c>
    </row>
    <row r="14" spans="1:6" ht="15" customHeight="1" x14ac:dyDescent="0.3">
      <c r="A14" s="19">
        <v>91926</v>
      </c>
      <c r="B14" s="9" t="s">
        <v>288</v>
      </c>
      <c r="C14" s="34" t="s">
        <v>289</v>
      </c>
      <c r="D14" s="18">
        <f t="shared" si="0"/>
        <v>3.6</v>
      </c>
      <c r="E14" s="18">
        <v>3.49</v>
      </c>
      <c r="F14" s="18">
        <v>3.6</v>
      </c>
    </row>
    <row r="15" spans="1:6" ht="15" customHeight="1" x14ac:dyDescent="0.3">
      <c r="A15" s="19">
        <v>97881</v>
      </c>
      <c r="B15" s="9" t="s">
        <v>290</v>
      </c>
      <c r="C15" s="34" t="s">
        <v>78</v>
      </c>
      <c r="D15" s="18">
        <f t="shared" si="0"/>
        <v>87.14</v>
      </c>
      <c r="E15" s="18">
        <v>84.95</v>
      </c>
      <c r="F15" s="18">
        <v>87.14</v>
      </c>
    </row>
    <row r="16" spans="1:6" ht="15" customHeight="1" x14ac:dyDescent="0.3">
      <c r="A16" s="19">
        <v>88261</v>
      </c>
      <c r="B16" s="9" t="s">
        <v>291</v>
      </c>
      <c r="C16" s="34" t="s">
        <v>273</v>
      </c>
      <c r="D16" s="18">
        <f t="shared" si="0"/>
        <v>18.760000000000002</v>
      </c>
      <c r="E16" s="18">
        <v>16.84</v>
      </c>
      <c r="F16" s="18">
        <v>18.760000000000002</v>
      </c>
    </row>
    <row r="17" spans="1:6" ht="15" customHeight="1" x14ac:dyDescent="0.3">
      <c r="A17" s="19">
        <v>91534</v>
      </c>
      <c r="B17" s="9" t="s">
        <v>292</v>
      </c>
      <c r="C17" s="34" t="s">
        <v>281</v>
      </c>
      <c r="D17" s="18">
        <f t="shared" si="0"/>
        <v>25.19</v>
      </c>
      <c r="E17" s="18">
        <v>22.39</v>
      </c>
      <c r="F17" s="18">
        <v>25.19</v>
      </c>
    </row>
    <row r="18" spans="1:6" ht="15" customHeight="1" x14ac:dyDescent="0.3">
      <c r="A18" s="19">
        <v>91533</v>
      </c>
      <c r="B18" s="9" t="s">
        <v>293</v>
      </c>
      <c r="C18" s="34" t="s">
        <v>283</v>
      </c>
      <c r="D18" s="18">
        <f t="shared" si="0"/>
        <v>31.29</v>
      </c>
      <c r="E18" s="18">
        <v>28.49</v>
      </c>
      <c r="F18" s="18">
        <v>31.29</v>
      </c>
    </row>
    <row r="19" spans="1:6" ht="15" customHeight="1" x14ac:dyDescent="0.3">
      <c r="A19" s="19">
        <v>91529</v>
      </c>
      <c r="B19" s="9" t="s">
        <v>294</v>
      </c>
      <c r="C19" s="34" t="s">
        <v>273</v>
      </c>
      <c r="D19" s="18">
        <f t="shared" si="0"/>
        <v>0.7</v>
      </c>
      <c r="E19" s="18">
        <v>0.7</v>
      </c>
      <c r="F19" s="18">
        <v>0.7</v>
      </c>
    </row>
    <row r="20" spans="1:6" ht="15" customHeight="1" x14ac:dyDescent="0.3">
      <c r="A20" s="19">
        <v>91530</v>
      </c>
      <c r="B20" s="9" t="s">
        <v>295</v>
      </c>
      <c r="C20" s="34" t="s">
        <v>273</v>
      </c>
      <c r="D20" s="18">
        <f t="shared" si="0"/>
        <v>0.09</v>
      </c>
      <c r="E20" s="18">
        <v>0.09</v>
      </c>
      <c r="F20" s="18">
        <v>0.09</v>
      </c>
    </row>
    <row r="21" spans="1:6" ht="15" customHeight="1" x14ac:dyDescent="0.3">
      <c r="A21" s="19">
        <v>91531</v>
      </c>
      <c r="B21" s="9" t="s">
        <v>296</v>
      </c>
      <c r="C21" s="34" t="s">
        <v>273</v>
      </c>
      <c r="D21" s="18">
        <f t="shared" si="0"/>
        <v>0.88</v>
      </c>
      <c r="E21" s="18">
        <v>0.88</v>
      </c>
      <c r="F21" s="18">
        <v>0.88</v>
      </c>
    </row>
    <row r="22" spans="1:6" ht="15" customHeight="1" x14ac:dyDescent="0.3">
      <c r="A22" s="19">
        <v>91532</v>
      </c>
      <c r="B22" s="9" t="s">
        <v>297</v>
      </c>
      <c r="C22" s="34" t="s">
        <v>273</v>
      </c>
      <c r="D22" s="18">
        <f t="shared" si="0"/>
        <v>5.22</v>
      </c>
      <c r="E22" s="18">
        <v>5.22</v>
      </c>
      <c r="F22" s="18">
        <v>5.22</v>
      </c>
    </row>
    <row r="23" spans="1:6" ht="15" customHeight="1" x14ac:dyDescent="0.3">
      <c r="A23" s="19">
        <v>94971</v>
      </c>
      <c r="B23" s="9" t="s">
        <v>298</v>
      </c>
      <c r="C23" s="34" t="s">
        <v>299</v>
      </c>
      <c r="D23" s="18">
        <f t="shared" si="0"/>
        <v>393.27</v>
      </c>
      <c r="E23" s="18">
        <v>387.72</v>
      </c>
      <c r="F23" s="18">
        <v>393.27</v>
      </c>
    </row>
    <row r="24" spans="1:6" ht="15" customHeight="1" x14ac:dyDescent="0.3">
      <c r="A24" s="19">
        <v>92799</v>
      </c>
      <c r="B24" s="9" t="s">
        <v>300</v>
      </c>
      <c r="C24" s="34" t="s">
        <v>276</v>
      </c>
      <c r="D24" s="18">
        <f t="shared" si="0"/>
        <v>10.220000000000001</v>
      </c>
      <c r="E24" s="18">
        <v>10.02</v>
      </c>
      <c r="F24" s="18">
        <v>10.220000000000001</v>
      </c>
    </row>
    <row r="25" spans="1:6" ht="15" customHeight="1" x14ac:dyDescent="0.3">
      <c r="A25" s="19">
        <v>95308</v>
      </c>
      <c r="B25" s="9" t="s">
        <v>301</v>
      </c>
      <c r="C25" s="34" t="s">
        <v>273</v>
      </c>
      <c r="D25" s="18">
        <f t="shared" si="0"/>
        <v>0.08</v>
      </c>
      <c r="E25" s="18">
        <v>7.0000000000000007E-2</v>
      </c>
      <c r="F25" s="18">
        <v>0.08</v>
      </c>
    </row>
    <row r="26" spans="1:6" ht="15" customHeight="1" x14ac:dyDescent="0.3">
      <c r="A26" s="19">
        <v>95309</v>
      </c>
      <c r="B26" s="9" t="s">
        <v>302</v>
      </c>
      <c r="C26" s="34" t="s">
        <v>273</v>
      </c>
      <c r="D26" s="18">
        <f t="shared" si="0"/>
        <v>0.12</v>
      </c>
      <c r="E26" s="18">
        <v>0.1</v>
      </c>
      <c r="F26" s="18">
        <v>0.12</v>
      </c>
    </row>
    <row r="27" spans="1:6" ht="15" customHeight="1" x14ac:dyDescent="0.3">
      <c r="A27" s="19">
        <v>95314</v>
      </c>
      <c r="B27" s="9" t="s">
        <v>303</v>
      </c>
      <c r="C27" s="34" t="s">
        <v>273</v>
      </c>
      <c r="D27" s="18">
        <f t="shared" si="0"/>
        <v>0.12</v>
      </c>
      <c r="E27" s="18">
        <v>0.1</v>
      </c>
      <c r="F27" s="18">
        <v>0.12</v>
      </c>
    </row>
    <row r="28" spans="1:6" ht="15" customHeight="1" x14ac:dyDescent="0.3">
      <c r="A28" s="19">
        <v>95316</v>
      </c>
      <c r="B28" s="9" t="s">
        <v>304</v>
      </c>
      <c r="C28" s="34" t="s">
        <v>273</v>
      </c>
      <c r="D28" s="18">
        <f t="shared" si="0"/>
        <v>0.27</v>
      </c>
      <c r="E28" s="18">
        <v>0.24</v>
      </c>
      <c r="F28" s="18">
        <v>0.27</v>
      </c>
    </row>
    <row r="29" spans="1:6" ht="15" customHeight="1" x14ac:dyDescent="0.3">
      <c r="A29" s="19">
        <v>95317</v>
      </c>
      <c r="B29" s="9" t="s">
        <v>305</v>
      </c>
      <c r="C29" s="34" t="s">
        <v>273</v>
      </c>
      <c r="D29" s="18">
        <f t="shared" si="0"/>
        <v>0.13</v>
      </c>
      <c r="E29" s="18">
        <v>0.11</v>
      </c>
      <c r="F29" s="18">
        <v>0.13</v>
      </c>
    </row>
    <row r="30" spans="1:6" ht="15" customHeight="1" x14ac:dyDescent="0.3">
      <c r="A30" s="19">
        <v>95329</v>
      </c>
      <c r="B30" s="9" t="s">
        <v>306</v>
      </c>
      <c r="C30" s="34" t="s">
        <v>273</v>
      </c>
      <c r="D30" s="18">
        <f t="shared" si="0"/>
        <v>0.14000000000000001</v>
      </c>
      <c r="E30" s="18">
        <v>0.12</v>
      </c>
      <c r="F30" s="18">
        <v>0.14000000000000001</v>
      </c>
    </row>
    <row r="31" spans="1:6" ht="15" customHeight="1" x14ac:dyDescent="0.3">
      <c r="A31" s="19">
        <v>95332</v>
      </c>
      <c r="B31" s="9" t="s">
        <v>307</v>
      </c>
      <c r="C31" s="34" t="s">
        <v>273</v>
      </c>
      <c r="D31" s="18">
        <f t="shared" si="0"/>
        <v>0.39</v>
      </c>
      <c r="E31" s="18">
        <v>0.34</v>
      </c>
      <c r="F31" s="18">
        <v>0.39</v>
      </c>
    </row>
    <row r="32" spans="1:6" ht="15" customHeight="1" x14ac:dyDescent="0.3">
      <c r="A32" s="19">
        <v>95335</v>
      </c>
      <c r="B32" s="9" t="s">
        <v>308</v>
      </c>
      <c r="C32" s="34" t="s">
        <v>273</v>
      </c>
      <c r="D32" s="18">
        <f t="shared" si="0"/>
        <v>0.19</v>
      </c>
      <c r="E32" s="18">
        <v>0.16</v>
      </c>
      <c r="F32" s="18">
        <v>0.19</v>
      </c>
    </row>
    <row r="33" spans="1:6" ht="15" customHeight="1" x14ac:dyDescent="0.3">
      <c r="A33" s="19">
        <v>95351</v>
      </c>
      <c r="B33" s="9" t="s">
        <v>309</v>
      </c>
      <c r="C33" s="34" t="s">
        <v>273</v>
      </c>
      <c r="D33" s="18">
        <f t="shared" si="0"/>
        <v>0.23</v>
      </c>
      <c r="E33" s="18">
        <v>0.2</v>
      </c>
      <c r="F33" s="18">
        <v>0.23</v>
      </c>
    </row>
    <row r="34" spans="1:6" ht="15" customHeight="1" x14ac:dyDescent="0.3">
      <c r="A34" s="19">
        <v>95389</v>
      </c>
      <c r="B34" s="9" t="s">
        <v>310</v>
      </c>
      <c r="C34" s="34" t="s">
        <v>273</v>
      </c>
      <c r="D34" s="18">
        <f t="shared" ref="D34:D65" si="1">IF(ONERA="COM DESONERAÇÃO",E34,F34)</f>
        <v>0.09</v>
      </c>
      <c r="E34" s="18">
        <v>7.0000000000000007E-2</v>
      </c>
      <c r="F34" s="18">
        <v>0.09</v>
      </c>
    </row>
    <row r="35" spans="1:6" ht="15" customHeight="1" x14ac:dyDescent="0.3">
      <c r="A35" s="19">
        <v>95360</v>
      </c>
      <c r="B35" s="9" t="s">
        <v>311</v>
      </c>
      <c r="C35" s="34" t="s">
        <v>273</v>
      </c>
      <c r="D35" s="18">
        <f t="shared" si="1"/>
        <v>0.16</v>
      </c>
      <c r="E35" s="18">
        <v>0.14000000000000001</v>
      </c>
      <c r="F35" s="18">
        <v>0.16</v>
      </c>
    </row>
    <row r="36" spans="1:6" ht="15" customHeight="1" x14ac:dyDescent="0.3">
      <c r="A36" s="19">
        <v>95371</v>
      </c>
      <c r="B36" s="9" t="s">
        <v>312</v>
      </c>
      <c r="C36" s="34" t="s">
        <v>273</v>
      </c>
      <c r="D36" s="18">
        <f t="shared" si="1"/>
        <v>0.22</v>
      </c>
      <c r="E36" s="18">
        <v>0.19</v>
      </c>
      <c r="F36" s="18">
        <v>0.22</v>
      </c>
    </row>
    <row r="37" spans="1:6" ht="15" customHeight="1" x14ac:dyDescent="0.3">
      <c r="A37" s="19">
        <v>95378</v>
      </c>
      <c r="B37" s="9" t="s">
        <v>313</v>
      </c>
      <c r="C37" s="34" t="s">
        <v>273</v>
      </c>
      <c r="D37" s="18">
        <f t="shared" si="1"/>
        <v>0.16</v>
      </c>
      <c r="E37" s="18">
        <v>0.13</v>
      </c>
      <c r="F37" s="18">
        <v>0.16</v>
      </c>
    </row>
    <row r="38" spans="1:6" ht="15" customHeight="1" x14ac:dyDescent="0.3">
      <c r="A38" s="19">
        <v>91902</v>
      </c>
      <c r="B38" s="9" t="s">
        <v>314</v>
      </c>
      <c r="C38" s="34" t="s">
        <v>78</v>
      </c>
      <c r="D38" s="18">
        <f t="shared" si="1"/>
        <v>9.8000000000000007</v>
      </c>
      <c r="E38" s="18">
        <v>9.09</v>
      </c>
      <c r="F38" s="18">
        <v>9.8000000000000007</v>
      </c>
    </row>
    <row r="39" spans="1:6" ht="15" customHeight="1" x14ac:dyDescent="0.3">
      <c r="A39" s="19">
        <v>93654</v>
      </c>
      <c r="B39" s="9" t="s">
        <v>315</v>
      </c>
      <c r="C39" s="34" t="s">
        <v>78</v>
      </c>
      <c r="D39" s="18">
        <f t="shared" si="1"/>
        <v>11.17</v>
      </c>
      <c r="E39" s="18">
        <v>11</v>
      </c>
      <c r="F39" s="18">
        <v>11.17</v>
      </c>
    </row>
    <row r="40" spans="1:6" ht="15" customHeight="1" x14ac:dyDescent="0.3">
      <c r="A40" s="19">
        <v>88264</v>
      </c>
      <c r="B40" s="9" t="s">
        <v>316</v>
      </c>
      <c r="C40" s="34" t="s">
        <v>273</v>
      </c>
      <c r="D40" s="18">
        <f t="shared" si="1"/>
        <v>20.02</v>
      </c>
      <c r="E40" s="18">
        <v>17.940000000000001</v>
      </c>
      <c r="F40" s="18">
        <v>20.02</v>
      </c>
    </row>
    <row r="41" spans="1:6" ht="15" customHeight="1" x14ac:dyDescent="0.3">
      <c r="A41" s="19">
        <v>95727</v>
      </c>
      <c r="B41" s="9" t="s">
        <v>317</v>
      </c>
      <c r="C41" s="34" t="s">
        <v>289</v>
      </c>
      <c r="D41" s="18">
        <f t="shared" si="1"/>
        <v>5.79</v>
      </c>
      <c r="E41" s="18">
        <v>5.5</v>
      </c>
      <c r="F41" s="18">
        <v>5.79</v>
      </c>
    </row>
    <row r="42" spans="1:6" ht="15" customHeight="1" x14ac:dyDescent="0.3">
      <c r="A42" s="19">
        <v>88267</v>
      </c>
      <c r="B42" s="9" t="s">
        <v>318</v>
      </c>
      <c r="C42" s="34" t="s">
        <v>273</v>
      </c>
      <c r="D42" s="18">
        <f t="shared" si="1"/>
        <v>19.37</v>
      </c>
      <c r="E42" s="18">
        <v>17.309999999999999</v>
      </c>
      <c r="F42" s="18">
        <v>19.37</v>
      </c>
    </row>
    <row r="43" spans="1:6" ht="15" customHeight="1" x14ac:dyDescent="0.3">
      <c r="A43" s="19">
        <v>93358</v>
      </c>
      <c r="B43" s="9" t="s">
        <v>319</v>
      </c>
      <c r="C43" s="34" t="s">
        <v>299</v>
      </c>
      <c r="D43" s="18">
        <f t="shared" si="1"/>
        <v>60.72</v>
      </c>
      <c r="E43" s="18">
        <v>54.9</v>
      </c>
      <c r="F43" s="18">
        <v>60.72</v>
      </c>
    </row>
    <row r="44" spans="1:6" ht="15" customHeight="1" x14ac:dyDescent="0.3">
      <c r="A44" s="19">
        <v>91170</v>
      </c>
      <c r="B44" s="9" t="s">
        <v>320</v>
      </c>
      <c r="C44" s="34" t="s">
        <v>289</v>
      </c>
      <c r="D44" s="18">
        <f t="shared" si="1"/>
        <v>2.44</v>
      </c>
      <c r="E44" s="18">
        <v>2.29</v>
      </c>
      <c r="F44" s="18">
        <v>2.44</v>
      </c>
    </row>
    <row r="45" spans="1:6" ht="15" customHeight="1" x14ac:dyDescent="0.3">
      <c r="A45" s="19">
        <v>5928</v>
      </c>
      <c r="B45" s="9" t="s">
        <v>321</v>
      </c>
      <c r="C45" s="34" t="s">
        <v>283</v>
      </c>
      <c r="D45" s="18">
        <f t="shared" si="1"/>
        <v>169.63</v>
      </c>
      <c r="E45" s="18">
        <v>166.82</v>
      </c>
      <c r="F45" s="18">
        <v>169.63</v>
      </c>
    </row>
    <row r="46" spans="1:6" ht="15" customHeight="1" x14ac:dyDescent="0.3">
      <c r="A46" s="19">
        <v>89259</v>
      </c>
      <c r="B46" s="9" t="s">
        <v>322</v>
      </c>
      <c r="C46" s="34" t="s">
        <v>273</v>
      </c>
      <c r="D46" s="18">
        <f t="shared" si="1"/>
        <v>11.71</v>
      </c>
      <c r="E46" s="18">
        <v>11.71</v>
      </c>
      <c r="F46" s="18">
        <v>11.71</v>
      </c>
    </row>
    <row r="47" spans="1:6" ht="15" customHeight="1" x14ac:dyDescent="0.3">
      <c r="A47" s="19">
        <v>91466</v>
      </c>
      <c r="B47" s="9" t="s">
        <v>323</v>
      </c>
      <c r="C47" s="34" t="s">
        <v>273</v>
      </c>
      <c r="D47" s="18">
        <f t="shared" si="1"/>
        <v>0.95</v>
      </c>
      <c r="E47" s="18">
        <v>0.95</v>
      </c>
      <c r="F47" s="18">
        <v>0.95</v>
      </c>
    </row>
    <row r="48" spans="1:6" ht="15" customHeight="1" x14ac:dyDescent="0.3">
      <c r="A48" s="19">
        <v>89260</v>
      </c>
      <c r="B48" s="9" t="s">
        <v>324</v>
      </c>
      <c r="C48" s="34" t="s">
        <v>273</v>
      </c>
      <c r="D48" s="18">
        <f t="shared" si="1"/>
        <v>2.4500000000000002</v>
      </c>
      <c r="E48" s="18">
        <v>2.4500000000000002</v>
      </c>
      <c r="F48" s="18">
        <v>2.4500000000000002</v>
      </c>
    </row>
    <row r="49" spans="1:6" ht="15" customHeight="1" x14ac:dyDescent="0.3">
      <c r="A49" s="19">
        <v>89262</v>
      </c>
      <c r="B49" s="9" t="s">
        <v>325</v>
      </c>
      <c r="C49" s="34" t="s">
        <v>273</v>
      </c>
      <c r="D49" s="18">
        <f t="shared" si="1"/>
        <v>21.96</v>
      </c>
      <c r="E49" s="18">
        <v>21.96</v>
      </c>
      <c r="F49" s="18">
        <v>21.96</v>
      </c>
    </row>
    <row r="50" spans="1:6" ht="15" customHeight="1" x14ac:dyDescent="0.3">
      <c r="A50" s="19">
        <v>91467</v>
      </c>
      <c r="B50" s="9" t="s">
        <v>326</v>
      </c>
      <c r="C50" s="34" t="s">
        <v>273</v>
      </c>
      <c r="D50" s="18">
        <f t="shared" si="1"/>
        <v>108.09</v>
      </c>
      <c r="E50" s="18">
        <v>108.09</v>
      </c>
      <c r="F50" s="18">
        <v>108.09</v>
      </c>
    </row>
    <row r="51" spans="1:6" ht="15" customHeight="1" x14ac:dyDescent="0.3">
      <c r="A51" s="19">
        <v>101654</v>
      </c>
      <c r="B51" s="9" t="s">
        <v>327</v>
      </c>
      <c r="C51" s="34" t="s">
        <v>78</v>
      </c>
      <c r="D51" s="18">
        <f t="shared" si="1"/>
        <v>338.9</v>
      </c>
      <c r="E51" s="18">
        <v>337.39</v>
      </c>
      <c r="F51" s="18">
        <v>338.9</v>
      </c>
    </row>
    <row r="52" spans="1:6" ht="15" customHeight="1" x14ac:dyDescent="0.3">
      <c r="A52" s="19">
        <v>91875</v>
      </c>
      <c r="B52" s="9" t="s">
        <v>328</v>
      </c>
      <c r="C52" s="34" t="s">
        <v>78</v>
      </c>
      <c r="D52" s="18">
        <f t="shared" si="1"/>
        <v>4.93</v>
      </c>
      <c r="E52" s="18">
        <v>4.54</v>
      </c>
      <c r="F52" s="18">
        <v>4.93</v>
      </c>
    </row>
    <row r="53" spans="1:6" ht="15" customHeight="1" x14ac:dyDescent="0.3">
      <c r="A53" s="19">
        <v>88286</v>
      </c>
      <c r="B53" s="9" t="s">
        <v>329</v>
      </c>
      <c r="C53" s="34" t="s">
        <v>273</v>
      </c>
      <c r="D53" s="18">
        <f t="shared" si="1"/>
        <v>24.47</v>
      </c>
      <c r="E53" s="18">
        <v>21.66</v>
      </c>
      <c r="F53" s="18">
        <v>24.47</v>
      </c>
    </row>
    <row r="54" spans="1:6" ht="15" customHeight="1" x14ac:dyDescent="0.3">
      <c r="A54" s="19">
        <v>88377</v>
      </c>
      <c r="B54" s="9" t="s">
        <v>330</v>
      </c>
      <c r="C54" s="34" t="s">
        <v>273</v>
      </c>
      <c r="D54" s="18">
        <f t="shared" si="1"/>
        <v>19.32</v>
      </c>
      <c r="E54" s="18">
        <v>17.21</v>
      </c>
      <c r="F54" s="18">
        <v>19.32</v>
      </c>
    </row>
    <row r="55" spans="1:6" ht="15" customHeight="1" x14ac:dyDescent="0.3">
      <c r="A55" s="19">
        <v>88297</v>
      </c>
      <c r="B55" s="9" t="s">
        <v>331</v>
      </c>
      <c r="C55" s="34" t="s">
        <v>273</v>
      </c>
      <c r="D55" s="18">
        <f t="shared" si="1"/>
        <v>24.4</v>
      </c>
      <c r="E55" s="18">
        <v>21.6</v>
      </c>
      <c r="F55" s="18">
        <v>24.4</v>
      </c>
    </row>
    <row r="56" spans="1:6" ht="15" customHeight="1" x14ac:dyDescent="0.3">
      <c r="A56" s="19">
        <v>97733</v>
      </c>
      <c r="B56" s="9" t="s">
        <v>332</v>
      </c>
      <c r="C56" s="34" t="s">
        <v>299</v>
      </c>
      <c r="D56" s="18">
        <f t="shared" si="1"/>
        <v>2636.74</v>
      </c>
      <c r="E56" s="18">
        <v>2463.71</v>
      </c>
      <c r="F56" s="18">
        <v>2636.74</v>
      </c>
    </row>
    <row r="57" spans="1:6" ht="15" customHeight="1" x14ac:dyDescent="0.3">
      <c r="A57" s="19">
        <v>88309</v>
      </c>
      <c r="B57" s="9" t="s">
        <v>333</v>
      </c>
      <c r="C57" s="34" t="s">
        <v>273</v>
      </c>
      <c r="D57" s="18">
        <f t="shared" si="1"/>
        <v>19.850000000000001</v>
      </c>
      <c r="E57" s="18">
        <v>17.79</v>
      </c>
      <c r="F57" s="18">
        <v>19.850000000000001</v>
      </c>
    </row>
    <row r="58" spans="1:6" ht="15" customHeight="1" x14ac:dyDescent="0.3">
      <c r="A58" s="19">
        <v>101619</v>
      </c>
      <c r="B58" s="9" t="s">
        <v>334</v>
      </c>
      <c r="C58" s="34" t="s">
        <v>299</v>
      </c>
      <c r="D58" s="18">
        <f t="shared" si="1"/>
        <v>207.75</v>
      </c>
      <c r="E58" s="18">
        <v>196.74</v>
      </c>
      <c r="F58" s="18">
        <v>207.75</v>
      </c>
    </row>
    <row r="59" spans="1:6" ht="15" customHeight="1" x14ac:dyDescent="0.3">
      <c r="A59" s="19">
        <v>101632</v>
      </c>
      <c r="B59" s="9" t="s">
        <v>335</v>
      </c>
      <c r="C59" s="34" t="s">
        <v>78</v>
      </c>
      <c r="D59" s="18">
        <f t="shared" si="1"/>
        <v>19.690000000000001</v>
      </c>
      <c r="E59" s="18">
        <v>19.64</v>
      </c>
      <c r="F59" s="18">
        <v>19.690000000000001</v>
      </c>
    </row>
    <row r="60" spans="1:6" ht="15" customHeight="1" x14ac:dyDescent="0.3">
      <c r="A60" s="19">
        <v>91693</v>
      </c>
      <c r="B60" s="9" t="s">
        <v>336</v>
      </c>
      <c r="C60" s="34" t="s">
        <v>281</v>
      </c>
      <c r="D60" s="18">
        <f t="shared" si="1"/>
        <v>24.5</v>
      </c>
      <c r="E60" s="18">
        <v>21.7</v>
      </c>
      <c r="F60" s="18">
        <v>24.5</v>
      </c>
    </row>
    <row r="61" spans="1:6" ht="15" customHeight="1" x14ac:dyDescent="0.3">
      <c r="A61" s="19">
        <v>91692</v>
      </c>
      <c r="B61" s="9" t="s">
        <v>337</v>
      </c>
      <c r="C61" s="34" t="s">
        <v>283</v>
      </c>
      <c r="D61" s="18">
        <f t="shared" si="1"/>
        <v>26.96</v>
      </c>
      <c r="E61" s="18">
        <v>24.16</v>
      </c>
      <c r="F61" s="18">
        <v>26.96</v>
      </c>
    </row>
    <row r="62" spans="1:6" ht="15" customHeight="1" x14ac:dyDescent="0.3">
      <c r="A62" s="19">
        <v>91688</v>
      </c>
      <c r="B62" s="9" t="s">
        <v>338</v>
      </c>
      <c r="C62" s="34" t="s">
        <v>273</v>
      </c>
      <c r="D62" s="18">
        <f t="shared" si="1"/>
        <v>0.09</v>
      </c>
      <c r="E62" s="18">
        <v>0.09</v>
      </c>
      <c r="F62" s="18">
        <v>0.09</v>
      </c>
    </row>
    <row r="63" spans="1:6" ht="15" customHeight="1" x14ac:dyDescent="0.3">
      <c r="A63" s="19">
        <v>91689</v>
      </c>
      <c r="B63" s="9" t="s">
        <v>339</v>
      </c>
      <c r="C63" s="34" t="s">
        <v>273</v>
      </c>
      <c r="D63" s="18">
        <f t="shared" si="1"/>
        <v>0.01</v>
      </c>
      <c r="E63" s="18">
        <v>0.01</v>
      </c>
      <c r="F63" s="18">
        <v>0.01</v>
      </c>
    </row>
    <row r="64" spans="1:6" ht="15" customHeight="1" x14ac:dyDescent="0.3">
      <c r="A64" s="19">
        <v>91690</v>
      </c>
      <c r="B64" s="9" t="s">
        <v>340</v>
      </c>
      <c r="C64" s="34" t="s">
        <v>273</v>
      </c>
      <c r="D64" s="18">
        <f t="shared" si="1"/>
        <v>0.06</v>
      </c>
      <c r="E64" s="18">
        <v>0.06</v>
      </c>
      <c r="F64" s="18">
        <v>0.06</v>
      </c>
    </row>
    <row r="65" spans="1:6" ht="15" customHeight="1" x14ac:dyDescent="0.3">
      <c r="A65" s="19">
        <v>91691</v>
      </c>
      <c r="B65" s="9" t="s">
        <v>341</v>
      </c>
      <c r="C65" s="34" t="s">
        <v>273</v>
      </c>
      <c r="D65" s="18">
        <f t="shared" si="1"/>
        <v>2.4</v>
      </c>
      <c r="E65" s="18">
        <v>2.4</v>
      </c>
      <c r="F65" s="18">
        <v>2.4</v>
      </c>
    </row>
    <row r="66" spans="1:6" ht="15" customHeight="1" x14ac:dyDescent="0.3">
      <c r="A66" s="19">
        <v>88316</v>
      </c>
      <c r="B66" s="9" t="s">
        <v>342</v>
      </c>
      <c r="C66" s="34" t="s">
        <v>273</v>
      </c>
      <c r="D66" s="18">
        <f t="shared" ref="D66:D72" si="2">IF(ONERA="COM DESONERAÇÃO",E66,F66)</f>
        <v>15.35</v>
      </c>
      <c r="E66" s="18">
        <v>13.88</v>
      </c>
      <c r="F66" s="18">
        <v>15.35</v>
      </c>
    </row>
    <row r="67" spans="1:6" ht="15" customHeight="1" x14ac:dyDescent="0.3">
      <c r="A67" s="19">
        <v>90587</v>
      </c>
      <c r="B67" s="9" t="s">
        <v>343</v>
      </c>
      <c r="C67" s="34" t="s">
        <v>281</v>
      </c>
      <c r="D67" s="18">
        <f t="shared" si="2"/>
        <v>0.4</v>
      </c>
      <c r="E67" s="18">
        <v>0.4</v>
      </c>
      <c r="F67" s="18">
        <v>0.4</v>
      </c>
    </row>
    <row r="68" spans="1:6" ht="15" customHeight="1" x14ac:dyDescent="0.3">
      <c r="A68" s="19">
        <v>90586</v>
      </c>
      <c r="B68" s="9" t="s">
        <v>344</v>
      </c>
      <c r="C68" s="34" t="s">
        <v>283</v>
      </c>
      <c r="D68" s="18">
        <f t="shared" si="2"/>
        <v>1.63</v>
      </c>
      <c r="E68" s="18">
        <v>1.63</v>
      </c>
      <c r="F68" s="18">
        <v>1.63</v>
      </c>
    </row>
    <row r="69" spans="1:6" ht="15" customHeight="1" x14ac:dyDescent="0.3">
      <c r="A69" s="19">
        <v>90582</v>
      </c>
      <c r="B69" s="9" t="s">
        <v>345</v>
      </c>
      <c r="C69" s="34" t="s">
        <v>273</v>
      </c>
      <c r="D69" s="18">
        <f t="shared" si="2"/>
        <v>0.36</v>
      </c>
      <c r="E69" s="18">
        <v>0.36</v>
      </c>
      <c r="F69" s="18">
        <v>0.36</v>
      </c>
    </row>
    <row r="70" spans="1:6" ht="15" customHeight="1" x14ac:dyDescent="0.3">
      <c r="A70" s="19">
        <v>90583</v>
      </c>
      <c r="B70" s="9" t="s">
        <v>346</v>
      </c>
      <c r="C70" s="34" t="s">
        <v>273</v>
      </c>
      <c r="D70" s="18">
        <f t="shared" si="2"/>
        <v>0.04</v>
      </c>
      <c r="E70" s="18">
        <v>0.04</v>
      </c>
      <c r="F70" s="18">
        <v>0.04</v>
      </c>
    </row>
    <row r="71" spans="1:6" ht="15" customHeight="1" x14ac:dyDescent="0.3">
      <c r="A71" s="19">
        <v>90584</v>
      </c>
      <c r="B71" s="9" t="s">
        <v>347</v>
      </c>
      <c r="C71" s="34" t="s">
        <v>273</v>
      </c>
      <c r="D71" s="18">
        <f t="shared" si="2"/>
        <v>0.28000000000000003</v>
      </c>
      <c r="E71" s="18">
        <v>0.28000000000000003</v>
      </c>
      <c r="F71" s="18">
        <v>0.28000000000000003</v>
      </c>
    </row>
    <row r="72" spans="1:6" ht="15" customHeight="1" x14ac:dyDescent="0.3">
      <c r="A72" s="19">
        <v>90585</v>
      </c>
      <c r="B72" s="9" t="s">
        <v>348</v>
      </c>
      <c r="C72" s="34" t="s">
        <v>273</v>
      </c>
      <c r="D72" s="18">
        <f t="shared" si="2"/>
        <v>0.95</v>
      </c>
      <c r="E72" s="18">
        <v>0.95</v>
      </c>
      <c r="F72" s="18">
        <v>0.95</v>
      </c>
    </row>
  </sheetData>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workbookViewId="0">
      <selection activeCell="B2" sqref="B2"/>
    </sheetView>
  </sheetViews>
  <sheetFormatPr defaultRowHeight="15" customHeight="1" x14ac:dyDescent="0.3"/>
  <cols>
    <col min="1" max="1" width="17.109375" style="2" customWidth="1"/>
    <col min="2" max="2" width="102.88671875" style="2" customWidth="1"/>
    <col min="3" max="3" width="11.44140625" style="2" customWidth="1"/>
    <col min="4" max="6" width="17.109375" style="2" customWidth="1"/>
  </cols>
  <sheetData>
    <row r="1" spans="1:6" ht="15" customHeight="1" x14ac:dyDescent="0.3">
      <c r="A1" s="6" t="s">
        <v>266</v>
      </c>
      <c r="B1" s="6" t="s">
        <v>267</v>
      </c>
      <c r="C1" s="6" t="s">
        <v>268</v>
      </c>
      <c r="D1" s="6" t="s">
        <v>269</v>
      </c>
      <c r="E1" s="6" t="s">
        <v>270</v>
      </c>
      <c r="F1" s="6" t="s">
        <v>271</v>
      </c>
    </row>
    <row r="2" spans="1:6" ht="15" customHeight="1" x14ac:dyDescent="0.3">
      <c r="A2" s="19">
        <v>392</v>
      </c>
      <c r="B2" s="9" t="s">
        <v>349</v>
      </c>
      <c r="C2" s="34" t="s">
        <v>78</v>
      </c>
      <c r="D2" s="18">
        <f t="shared" ref="D2:D33" si="0">IF(ONERA="COM DESONERAÇÃO",E2,F2)</f>
        <v>1.5</v>
      </c>
      <c r="E2" s="18">
        <v>1.5</v>
      </c>
      <c r="F2" s="18">
        <v>1.5</v>
      </c>
    </row>
    <row r="3" spans="1:6" ht="15" customHeight="1" x14ac:dyDescent="0.3">
      <c r="A3" s="19">
        <v>43059</v>
      </c>
      <c r="B3" s="9" t="s">
        <v>350</v>
      </c>
      <c r="C3" s="34" t="s">
        <v>276</v>
      </c>
      <c r="D3" s="18">
        <f t="shared" si="0"/>
        <v>7.66</v>
      </c>
      <c r="E3" s="18">
        <v>7.66</v>
      </c>
      <c r="F3" s="18">
        <v>7.66</v>
      </c>
    </row>
    <row r="4" spans="1:6" ht="15" customHeight="1" x14ac:dyDescent="0.3">
      <c r="A4" s="19">
        <v>6114</v>
      </c>
      <c r="B4" s="9" t="s">
        <v>351</v>
      </c>
      <c r="C4" s="34" t="s">
        <v>273</v>
      </c>
      <c r="D4" s="18">
        <f t="shared" si="0"/>
        <v>10.41</v>
      </c>
      <c r="E4" s="18">
        <v>9</v>
      </c>
      <c r="F4" s="18">
        <v>10.41</v>
      </c>
    </row>
    <row r="5" spans="1:6" ht="15" customHeight="1" x14ac:dyDescent="0.3">
      <c r="A5" s="19">
        <v>247</v>
      </c>
      <c r="B5" s="9" t="s">
        <v>352</v>
      </c>
      <c r="C5" s="34" t="s">
        <v>273</v>
      </c>
      <c r="D5" s="18">
        <f t="shared" si="0"/>
        <v>10.5</v>
      </c>
      <c r="E5" s="18">
        <v>9.07</v>
      </c>
      <c r="F5" s="18">
        <v>10.5</v>
      </c>
    </row>
    <row r="6" spans="1:6" ht="15" customHeight="1" x14ac:dyDescent="0.3">
      <c r="A6" s="19">
        <v>37370</v>
      </c>
      <c r="B6" s="9" t="s">
        <v>353</v>
      </c>
      <c r="C6" s="34" t="s">
        <v>273</v>
      </c>
      <c r="D6" s="18">
        <f t="shared" si="0"/>
        <v>1.86</v>
      </c>
      <c r="E6" s="18">
        <v>1.86</v>
      </c>
      <c r="F6" s="18">
        <v>1.86</v>
      </c>
    </row>
    <row r="7" spans="1:6" ht="15" customHeight="1" x14ac:dyDescent="0.3">
      <c r="A7" s="19">
        <v>43132</v>
      </c>
      <c r="B7" s="9" t="s">
        <v>354</v>
      </c>
      <c r="C7" s="34" t="s">
        <v>276</v>
      </c>
      <c r="D7" s="18">
        <f t="shared" si="0"/>
        <v>17</v>
      </c>
      <c r="E7" s="18">
        <v>17</v>
      </c>
      <c r="F7" s="18">
        <v>17</v>
      </c>
    </row>
    <row r="8" spans="1:6" ht="15" customHeight="1" x14ac:dyDescent="0.3">
      <c r="A8" s="19">
        <v>370</v>
      </c>
      <c r="B8" s="9" t="s">
        <v>355</v>
      </c>
      <c r="C8" s="34" t="s">
        <v>299</v>
      </c>
      <c r="D8" s="18">
        <f t="shared" si="0"/>
        <v>37</v>
      </c>
      <c r="E8" s="18">
        <v>37</v>
      </c>
      <c r="F8" s="18">
        <v>37</v>
      </c>
    </row>
    <row r="9" spans="1:6" ht="15" customHeight="1" x14ac:dyDescent="0.3">
      <c r="A9" s="19">
        <v>378</v>
      </c>
      <c r="B9" s="9" t="s">
        <v>356</v>
      </c>
      <c r="C9" s="34" t="s">
        <v>273</v>
      </c>
      <c r="D9" s="18">
        <f t="shared" si="0"/>
        <v>14.93</v>
      </c>
      <c r="E9" s="18">
        <v>12.9</v>
      </c>
      <c r="F9" s="18">
        <v>14.93</v>
      </c>
    </row>
    <row r="10" spans="1:6" ht="15" customHeight="1" x14ac:dyDescent="0.3">
      <c r="A10" s="19">
        <v>246</v>
      </c>
      <c r="B10" s="9" t="s">
        <v>357</v>
      </c>
      <c r="C10" s="34" t="s">
        <v>273</v>
      </c>
      <c r="D10" s="18">
        <f t="shared" si="0"/>
        <v>10.58</v>
      </c>
      <c r="E10" s="18">
        <v>9.15</v>
      </c>
      <c r="F10" s="18">
        <v>10.58</v>
      </c>
    </row>
    <row r="11" spans="1:6" ht="15" customHeight="1" x14ac:dyDescent="0.3">
      <c r="A11" s="19">
        <v>36397</v>
      </c>
      <c r="B11" s="9" t="s">
        <v>358</v>
      </c>
      <c r="C11" s="34" t="s">
        <v>78</v>
      </c>
      <c r="D11" s="18">
        <f t="shared" si="0"/>
        <v>18305.080000000002</v>
      </c>
      <c r="E11" s="18">
        <v>18305.080000000002</v>
      </c>
      <c r="F11" s="18">
        <v>18305.080000000002</v>
      </c>
    </row>
    <row r="12" spans="1:6" ht="15" customHeight="1" x14ac:dyDescent="0.3">
      <c r="A12" s="19">
        <v>39175</v>
      </c>
      <c r="B12" s="9" t="s">
        <v>359</v>
      </c>
      <c r="C12" s="34" t="s">
        <v>78</v>
      </c>
      <c r="D12" s="18">
        <f t="shared" si="0"/>
        <v>0.79</v>
      </c>
      <c r="E12" s="18">
        <v>0.79</v>
      </c>
      <c r="F12" s="18">
        <v>0.79</v>
      </c>
    </row>
    <row r="13" spans="1:6" ht="15" customHeight="1" x14ac:dyDescent="0.3">
      <c r="A13" s="19">
        <v>1014</v>
      </c>
      <c r="B13" s="9" t="s">
        <v>360</v>
      </c>
      <c r="C13" s="34" t="s">
        <v>289</v>
      </c>
      <c r="D13" s="18">
        <f t="shared" si="0"/>
        <v>2.11</v>
      </c>
      <c r="E13" s="18">
        <v>2.11</v>
      </c>
      <c r="F13" s="18">
        <v>2.11</v>
      </c>
    </row>
    <row r="14" spans="1:6" ht="15" customHeight="1" x14ac:dyDescent="0.3">
      <c r="A14" s="19">
        <v>43429</v>
      </c>
      <c r="B14" s="9" t="s">
        <v>361</v>
      </c>
      <c r="C14" s="34" t="s">
        <v>78</v>
      </c>
      <c r="D14" s="18">
        <f t="shared" si="0"/>
        <v>53.59</v>
      </c>
      <c r="E14" s="18">
        <v>53.59</v>
      </c>
      <c r="F14" s="18">
        <v>53.59</v>
      </c>
    </row>
    <row r="15" spans="1:6" ht="15" customHeight="1" x14ac:dyDescent="0.3">
      <c r="A15" s="19">
        <v>37761</v>
      </c>
      <c r="B15" s="9" t="s">
        <v>362</v>
      </c>
      <c r="C15" s="34" t="s">
        <v>78</v>
      </c>
      <c r="D15" s="18">
        <f t="shared" si="0"/>
        <v>258909.48</v>
      </c>
      <c r="E15" s="18">
        <v>258909.48</v>
      </c>
      <c r="F15" s="18">
        <v>258909.48</v>
      </c>
    </row>
    <row r="16" spans="1:6" ht="15" customHeight="1" x14ac:dyDescent="0.3">
      <c r="A16" s="19">
        <v>6117</v>
      </c>
      <c r="B16" s="9" t="s">
        <v>363</v>
      </c>
      <c r="C16" s="34" t="s">
        <v>273</v>
      </c>
      <c r="D16" s="18">
        <f t="shared" si="0"/>
        <v>11.75</v>
      </c>
      <c r="E16" s="18">
        <v>10.15</v>
      </c>
      <c r="F16" s="18">
        <v>11.75</v>
      </c>
    </row>
    <row r="17" spans="1:6" ht="15" customHeight="1" x14ac:dyDescent="0.3">
      <c r="A17" s="19">
        <v>1214</v>
      </c>
      <c r="B17" s="9" t="s">
        <v>364</v>
      </c>
      <c r="C17" s="34" t="s">
        <v>273</v>
      </c>
      <c r="D17" s="18">
        <f t="shared" si="0"/>
        <v>14.02</v>
      </c>
      <c r="E17" s="18">
        <v>12.12</v>
      </c>
      <c r="F17" s="18">
        <v>14.02</v>
      </c>
    </row>
    <row r="18" spans="1:6" ht="15" customHeight="1" x14ac:dyDescent="0.3">
      <c r="A18" s="19">
        <v>1358</v>
      </c>
      <c r="B18" s="9" t="s">
        <v>365</v>
      </c>
      <c r="C18" s="34" t="s">
        <v>366</v>
      </c>
      <c r="D18" s="18">
        <f t="shared" si="0"/>
        <v>33.96</v>
      </c>
      <c r="E18" s="18">
        <v>33.96</v>
      </c>
      <c r="F18" s="18">
        <v>33.96</v>
      </c>
    </row>
    <row r="19" spans="1:6" ht="15" customHeight="1" x14ac:dyDescent="0.3">
      <c r="A19" s="19">
        <v>11975</v>
      </c>
      <c r="B19" s="9" t="s">
        <v>367</v>
      </c>
      <c r="C19" s="34" t="s">
        <v>78</v>
      </c>
      <c r="D19" s="18">
        <f t="shared" si="0"/>
        <v>11.4</v>
      </c>
      <c r="E19" s="18">
        <v>11.4</v>
      </c>
      <c r="F19" s="18">
        <v>11.4</v>
      </c>
    </row>
    <row r="20" spans="1:6" ht="15" customHeight="1" x14ac:dyDescent="0.3">
      <c r="A20" s="19">
        <v>1379</v>
      </c>
      <c r="B20" s="9" t="s">
        <v>368</v>
      </c>
      <c r="C20" s="34" t="s">
        <v>276</v>
      </c>
      <c r="D20" s="18">
        <f t="shared" si="0"/>
        <v>0.72</v>
      </c>
      <c r="E20" s="18">
        <v>0.72</v>
      </c>
      <c r="F20" s="18">
        <v>0.72</v>
      </c>
    </row>
    <row r="21" spans="1:6" ht="15" customHeight="1" x14ac:dyDescent="0.3">
      <c r="A21" s="19">
        <v>13458</v>
      </c>
      <c r="B21" s="9" t="s">
        <v>369</v>
      </c>
      <c r="C21" s="34" t="s">
        <v>78</v>
      </c>
      <c r="D21" s="18">
        <f t="shared" si="0"/>
        <v>13240.1</v>
      </c>
      <c r="E21" s="18">
        <v>13240.1</v>
      </c>
      <c r="F21" s="18">
        <v>13240.1</v>
      </c>
    </row>
    <row r="22" spans="1:6" ht="15" customHeight="1" x14ac:dyDescent="0.3">
      <c r="A22" s="19">
        <v>1879</v>
      </c>
      <c r="B22" s="9" t="s">
        <v>370</v>
      </c>
      <c r="C22" s="34" t="s">
        <v>78</v>
      </c>
      <c r="D22" s="18">
        <f t="shared" si="0"/>
        <v>2.64</v>
      </c>
      <c r="E22" s="18">
        <v>2.64</v>
      </c>
      <c r="F22" s="18">
        <v>2.64</v>
      </c>
    </row>
    <row r="23" spans="1:6" ht="15" customHeight="1" x14ac:dyDescent="0.3">
      <c r="A23" s="19">
        <v>2692</v>
      </c>
      <c r="B23" s="9" t="s">
        <v>371</v>
      </c>
      <c r="C23" s="34" t="s">
        <v>174</v>
      </c>
      <c r="D23" s="18">
        <f t="shared" si="0"/>
        <v>6.19</v>
      </c>
      <c r="E23" s="18">
        <v>6.19</v>
      </c>
      <c r="F23" s="18">
        <v>6.19</v>
      </c>
    </row>
    <row r="24" spans="1:6" ht="15" customHeight="1" x14ac:dyDescent="0.3">
      <c r="A24" s="19">
        <v>34653</v>
      </c>
      <c r="B24" s="9" t="s">
        <v>372</v>
      </c>
      <c r="C24" s="34" t="s">
        <v>78</v>
      </c>
      <c r="D24" s="18">
        <f t="shared" si="0"/>
        <v>8.49</v>
      </c>
      <c r="E24" s="18">
        <v>8.49</v>
      </c>
      <c r="F24" s="18">
        <v>8.49</v>
      </c>
    </row>
    <row r="25" spans="1:6" ht="15" customHeight="1" x14ac:dyDescent="0.3">
      <c r="A25" s="19">
        <v>2436</v>
      </c>
      <c r="B25" s="9" t="s">
        <v>373</v>
      </c>
      <c r="C25" s="34" t="s">
        <v>273</v>
      </c>
      <c r="D25" s="18">
        <f t="shared" si="0"/>
        <v>14.93</v>
      </c>
      <c r="E25" s="18">
        <v>12.9</v>
      </c>
      <c r="F25" s="18">
        <v>14.93</v>
      </c>
    </row>
    <row r="26" spans="1:6" ht="15" customHeight="1" x14ac:dyDescent="0.3">
      <c r="A26" s="19">
        <v>2678</v>
      </c>
      <c r="B26" s="9" t="s">
        <v>374</v>
      </c>
      <c r="C26" s="34" t="s">
        <v>289</v>
      </c>
      <c r="D26" s="18">
        <f t="shared" si="0"/>
        <v>1.88</v>
      </c>
      <c r="E26" s="18">
        <v>1.88</v>
      </c>
      <c r="F26" s="18">
        <v>1.88</v>
      </c>
    </row>
    <row r="27" spans="1:6" ht="15" customHeight="1" x14ac:dyDescent="0.3">
      <c r="A27" s="19">
        <v>39244</v>
      </c>
      <c r="B27" s="9" t="s">
        <v>375</v>
      </c>
      <c r="C27" s="34" t="s">
        <v>289</v>
      </c>
      <c r="D27" s="18">
        <f t="shared" si="0"/>
        <v>2.58</v>
      </c>
      <c r="E27" s="18">
        <v>2.58</v>
      </c>
      <c r="F27" s="18">
        <v>2.58</v>
      </c>
    </row>
    <row r="28" spans="1:6" ht="15" customHeight="1" x14ac:dyDescent="0.3">
      <c r="A28" s="19">
        <v>2696</v>
      </c>
      <c r="B28" s="9" t="s">
        <v>376</v>
      </c>
      <c r="C28" s="34" t="s">
        <v>273</v>
      </c>
      <c r="D28" s="18">
        <f t="shared" si="0"/>
        <v>14.93</v>
      </c>
      <c r="E28" s="18">
        <v>12.9</v>
      </c>
      <c r="F28" s="18">
        <v>14.93</v>
      </c>
    </row>
    <row r="29" spans="1:6" ht="15" customHeight="1" x14ac:dyDescent="0.3">
      <c r="A29" s="19">
        <v>2705</v>
      </c>
      <c r="B29" s="9" t="s">
        <v>377</v>
      </c>
      <c r="C29" s="34" t="s">
        <v>378</v>
      </c>
      <c r="D29" s="18">
        <f t="shared" si="0"/>
        <v>0.76</v>
      </c>
      <c r="E29" s="18">
        <v>0.76</v>
      </c>
      <c r="F29" s="18">
        <v>0.76</v>
      </c>
    </row>
    <row r="30" spans="1:6" ht="15" customHeight="1" x14ac:dyDescent="0.3">
      <c r="A30" s="19">
        <v>43483</v>
      </c>
      <c r="B30" s="9" t="s">
        <v>379</v>
      </c>
      <c r="C30" s="34" t="s">
        <v>273</v>
      </c>
      <c r="D30" s="18">
        <f t="shared" si="0"/>
        <v>1.05</v>
      </c>
      <c r="E30" s="18">
        <v>1.05</v>
      </c>
      <c r="F30" s="18">
        <v>1.05</v>
      </c>
    </row>
    <row r="31" spans="1:6" ht="15" customHeight="1" x14ac:dyDescent="0.3">
      <c r="A31" s="19">
        <v>43484</v>
      </c>
      <c r="B31" s="9" t="s">
        <v>380</v>
      </c>
      <c r="C31" s="34" t="s">
        <v>273</v>
      </c>
      <c r="D31" s="18">
        <f t="shared" si="0"/>
        <v>0.91</v>
      </c>
      <c r="E31" s="18">
        <v>0.91</v>
      </c>
      <c r="F31" s="18">
        <v>0.91</v>
      </c>
    </row>
    <row r="32" spans="1:6" ht="15" customHeight="1" x14ac:dyDescent="0.3">
      <c r="A32" s="19">
        <v>43485</v>
      </c>
      <c r="B32" s="9" t="s">
        <v>381</v>
      </c>
      <c r="C32" s="34" t="s">
        <v>273</v>
      </c>
      <c r="D32" s="18">
        <f t="shared" si="0"/>
        <v>0.8</v>
      </c>
      <c r="E32" s="18">
        <v>0.8</v>
      </c>
      <c r="F32" s="18">
        <v>0.8</v>
      </c>
    </row>
    <row r="33" spans="1:6" ht="15" customHeight="1" x14ac:dyDescent="0.3">
      <c r="A33" s="19">
        <v>43488</v>
      </c>
      <c r="B33" s="9" t="s">
        <v>382</v>
      </c>
      <c r="C33" s="34" t="s">
        <v>273</v>
      </c>
      <c r="D33" s="18">
        <f t="shared" si="0"/>
        <v>0.63</v>
      </c>
      <c r="E33" s="18">
        <v>0.63</v>
      </c>
      <c r="F33" s="18">
        <v>0.63</v>
      </c>
    </row>
    <row r="34" spans="1:6" ht="15" customHeight="1" x14ac:dyDescent="0.3">
      <c r="A34" s="19">
        <v>43489</v>
      </c>
      <c r="B34" s="9" t="s">
        <v>383</v>
      </c>
      <c r="C34" s="34" t="s">
        <v>273</v>
      </c>
      <c r="D34" s="18">
        <f t="shared" ref="D34:D64" si="1">IF(ONERA="COM DESONERAÇÃO",E34,F34)</f>
        <v>0.95</v>
      </c>
      <c r="E34" s="18">
        <v>0.95</v>
      </c>
      <c r="F34" s="18">
        <v>0.95</v>
      </c>
    </row>
    <row r="35" spans="1:6" ht="15" customHeight="1" x14ac:dyDescent="0.3">
      <c r="A35" s="19">
        <v>43491</v>
      </c>
      <c r="B35" s="9" t="s">
        <v>384</v>
      </c>
      <c r="C35" s="34" t="s">
        <v>273</v>
      </c>
      <c r="D35" s="18">
        <f t="shared" si="1"/>
        <v>1.01</v>
      </c>
      <c r="E35" s="18">
        <v>1.01</v>
      </c>
      <c r="F35" s="18">
        <v>1.01</v>
      </c>
    </row>
    <row r="36" spans="1:6" ht="15" customHeight="1" x14ac:dyDescent="0.3">
      <c r="A36" s="19">
        <v>39017</v>
      </c>
      <c r="B36" s="9" t="s">
        <v>385</v>
      </c>
      <c r="C36" s="34" t="s">
        <v>78</v>
      </c>
      <c r="D36" s="18">
        <f t="shared" si="1"/>
        <v>0.17</v>
      </c>
      <c r="E36" s="18">
        <v>0.17</v>
      </c>
      <c r="F36" s="18">
        <v>0.17</v>
      </c>
    </row>
    <row r="37" spans="1:6" ht="15" customHeight="1" x14ac:dyDescent="0.3">
      <c r="A37" s="19">
        <v>37372</v>
      </c>
      <c r="B37" s="9" t="s">
        <v>386</v>
      </c>
      <c r="C37" s="34" t="s">
        <v>273</v>
      </c>
      <c r="D37" s="18">
        <f t="shared" si="1"/>
        <v>0.55000000000000004</v>
      </c>
      <c r="E37" s="18">
        <v>0.55000000000000004</v>
      </c>
      <c r="F37" s="18">
        <v>0.55000000000000004</v>
      </c>
    </row>
    <row r="38" spans="1:6" ht="15" customHeight="1" x14ac:dyDescent="0.3">
      <c r="A38" s="19">
        <v>43459</v>
      </c>
      <c r="B38" s="9" t="s">
        <v>387</v>
      </c>
      <c r="C38" s="34" t="s">
        <v>273</v>
      </c>
      <c r="D38" s="18">
        <f t="shared" si="1"/>
        <v>0.38</v>
      </c>
      <c r="E38" s="18">
        <v>0.38</v>
      </c>
      <c r="F38" s="18">
        <v>0.38</v>
      </c>
    </row>
    <row r="39" spans="1:6" ht="15" customHeight="1" x14ac:dyDescent="0.3">
      <c r="A39" s="19">
        <v>43460</v>
      </c>
      <c r="B39" s="9" t="s">
        <v>388</v>
      </c>
      <c r="C39" s="34" t="s">
        <v>273</v>
      </c>
      <c r="D39" s="18">
        <f t="shared" si="1"/>
        <v>0.62</v>
      </c>
      <c r="E39" s="18">
        <v>0.62</v>
      </c>
      <c r="F39" s="18">
        <v>0.62</v>
      </c>
    </row>
    <row r="40" spans="1:6" ht="15" customHeight="1" x14ac:dyDescent="0.3">
      <c r="A40" s="19">
        <v>43461</v>
      </c>
      <c r="B40" s="9" t="s">
        <v>389</v>
      </c>
      <c r="C40" s="34" t="s">
        <v>273</v>
      </c>
      <c r="D40" s="18">
        <f t="shared" si="1"/>
        <v>0.28000000000000003</v>
      </c>
      <c r="E40" s="18">
        <v>0.28000000000000003</v>
      </c>
      <c r="F40" s="18">
        <v>0.28000000000000003</v>
      </c>
    </row>
    <row r="41" spans="1:6" ht="15" customHeight="1" x14ac:dyDescent="0.3">
      <c r="A41" s="19">
        <v>43464</v>
      </c>
      <c r="B41" s="9" t="s">
        <v>390</v>
      </c>
      <c r="C41" s="34" t="s">
        <v>273</v>
      </c>
      <c r="D41" s="18">
        <f t="shared" si="1"/>
        <v>0.01</v>
      </c>
      <c r="E41" s="18">
        <v>0.01</v>
      </c>
      <c r="F41" s="18">
        <v>0.01</v>
      </c>
    </row>
    <row r="42" spans="1:6" ht="15" customHeight="1" x14ac:dyDescent="0.3">
      <c r="A42" s="19">
        <v>43465</v>
      </c>
      <c r="B42" s="9" t="s">
        <v>391</v>
      </c>
      <c r="C42" s="34" t="s">
        <v>273</v>
      </c>
      <c r="D42" s="18">
        <f t="shared" si="1"/>
        <v>0.57999999999999996</v>
      </c>
      <c r="E42" s="18">
        <v>0.57999999999999996</v>
      </c>
      <c r="F42" s="18">
        <v>0.57999999999999996</v>
      </c>
    </row>
    <row r="43" spans="1:6" ht="15" customHeight="1" x14ac:dyDescent="0.3">
      <c r="A43" s="19">
        <v>43467</v>
      </c>
      <c r="B43" s="9" t="s">
        <v>392</v>
      </c>
      <c r="C43" s="34" t="s">
        <v>273</v>
      </c>
      <c r="D43" s="18">
        <f t="shared" si="1"/>
        <v>0.41</v>
      </c>
      <c r="E43" s="18">
        <v>0.41</v>
      </c>
      <c r="F43" s="18">
        <v>0.41</v>
      </c>
    </row>
    <row r="44" spans="1:6" ht="15" customHeight="1" x14ac:dyDescent="0.3">
      <c r="A44" s="19">
        <v>21127</v>
      </c>
      <c r="B44" s="9" t="s">
        <v>393</v>
      </c>
      <c r="C44" s="34" t="s">
        <v>78</v>
      </c>
      <c r="D44" s="18">
        <f t="shared" si="1"/>
        <v>3.88</v>
      </c>
      <c r="E44" s="18">
        <v>3.88</v>
      </c>
      <c r="F44" s="18">
        <v>3.88</v>
      </c>
    </row>
    <row r="45" spans="1:6" ht="15" customHeight="1" x14ac:dyDescent="0.3">
      <c r="A45" s="19">
        <v>4222</v>
      </c>
      <c r="B45" s="9" t="s">
        <v>394</v>
      </c>
      <c r="C45" s="34" t="s">
        <v>174</v>
      </c>
      <c r="D45" s="18">
        <f t="shared" si="1"/>
        <v>5.07</v>
      </c>
      <c r="E45" s="18">
        <v>5.07</v>
      </c>
      <c r="F45" s="18">
        <v>5.07</v>
      </c>
    </row>
    <row r="46" spans="1:6" ht="15" customHeight="1" x14ac:dyDescent="0.3">
      <c r="A46" s="19">
        <v>3363</v>
      </c>
      <c r="B46" s="9" t="s">
        <v>395</v>
      </c>
      <c r="C46" s="34" t="s">
        <v>78</v>
      </c>
      <c r="D46" s="18">
        <f t="shared" si="1"/>
        <v>82750</v>
      </c>
      <c r="E46" s="18">
        <v>82750</v>
      </c>
      <c r="F46" s="18">
        <v>82750</v>
      </c>
    </row>
    <row r="47" spans="1:6" ht="15" customHeight="1" x14ac:dyDescent="0.3">
      <c r="A47" s="19">
        <v>42244</v>
      </c>
      <c r="B47" s="9" t="s">
        <v>396</v>
      </c>
      <c r="C47" s="34" t="s">
        <v>78</v>
      </c>
      <c r="D47" s="18">
        <f t="shared" si="1"/>
        <v>289.91000000000003</v>
      </c>
      <c r="E47" s="18">
        <v>289.91000000000003</v>
      </c>
      <c r="F47" s="18">
        <v>289.91000000000003</v>
      </c>
    </row>
    <row r="48" spans="1:6" ht="15" customHeight="1" x14ac:dyDescent="0.3">
      <c r="A48" s="19">
        <v>1891</v>
      </c>
      <c r="B48" s="9" t="s">
        <v>397</v>
      </c>
      <c r="C48" s="34" t="s">
        <v>78</v>
      </c>
      <c r="D48" s="18">
        <f t="shared" si="1"/>
        <v>1.1399999999999999</v>
      </c>
      <c r="E48" s="18">
        <v>1.1399999999999999</v>
      </c>
      <c r="F48" s="18">
        <v>1.1399999999999999</v>
      </c>
    </row>
    <row r="49" spans="1:6" ht="15" customHeight="1" x14ac:dyDescent="0.3">
      <c r="A49" s="19">
        <v>4096</v>
      </c>
      <c r="B49" s="9" t="s">
        <v>398</v>
      </c>
      <c r="C49" s="34" t="s">
        <v>273</v>
      </c>
      <c r="D49" s="18">
        <f t="shared" si="1"/>
        <v>20.43</v>
      </c>
      <c r="E49" s="18">
        <v>17.649999999999999</v>
      </c>
      <c r="F49" s="18">
        <v>20.43</v>
      </c>
    </row>
    <row r="50" spans="1:6" ht="15" customHeight="1" x14ac:dyDescent="0.3">
      <c r="A50" s="19">
        <v>4221</v>
      </c>
      <c r="B50" s="9" t="s">
        <v>399</v>
      </c>
      <c r="C50" s="34" t="s">
        <v>174</v>
      </c>
      <c r="D50" s="18">
        <f t="shared" si="1"/>
        <v>4.09</v>
      </c>
      <c r="E50" s="18">
        <v>4.09</v>
      </c>
      <c r="F50" s="18">
        <v>4.09</v>
      </c>
    </row>
    <row r="51" spans="1:6" ht="15" customHeight="1" x14ac:dyDescent="0.3">
      <c r="A51" s="19">
        <v>37666</v>
      </c>
      <c r="B51" s="9" t="s">
        <v>400</v>
      </c>
      <c r="C51" s="34" t="s">
        <v>273</v>
      </c>
      <c r="D51" s="18">
        <f t="shared" si="1"/>
        <v>15.42</v>
      </c>
      <c r="E51" s="18">
        <v>13.33</v>
      </c>
      <c r="F51" s="18">
        <v>15.42</v>
      </c>
    </row>
    <row r="52" spans="1:6" ht="15" customHeight="1" x14ac:dyDescent="0.3">
      <c r="A52" s="19">
        <v>4230</v>
      </c>
      <c r="B52" s="9" t="s">
        <v>401</v>
      </c>
      <c r="C52" s="34" t="s">
        <v>273</v>
      </c>
      <c r="D52" s="18">
        <f t="shared" si="1"/>
        <v>20.43</v>
      </c>
      <c r="E52" s="18">
        <v>17.649999999999999</v>
      </c>
      <c r="F52" s="18">
        <v>20.43</v>
      </c>
    </row>
    <row r="53" spans="1:6" ht="15" customHeight="1" x14ac:dyDescent="0.3">
      <c r="A53" s="19">
        <v>4720</v>
      </c>
      <c r="B53" s="9" t="s">
        <v>402</v>
      </c>
      <c r="C53" s="34" t="s">
        <v>299</v>
      </c>
      <c r="D53" s="18">
        <f t="shared" si="1"/>
        <v>88.12</v>
      </c>
      <c r="E53" s="18">
        <v>88.12</v>
      </c>
      <c r="F53" s="18">
        <v>88.12</v>
      </c>
    </row>
    <row r="54" spans="1:6" ht="15" customHeight="1" x14ac:dyDescent="0.3">
      <c r="A54" s="19">
        <v>4721</v>
      </c>
      <c r="B54" s="9" t="s">
        <v>403</v>
      </c>
      <c r="C54" s="34" t="s">
        <v>299</v>
      </c>
      <c r="D54" s="18">
        <f t="shared" si="1"/>
        <v>76.319999999999993</v>
      </c>
      <c r="E54" s="18">
        <v>76.319999999999993</v>
      </c>
      <c r="F54" s="18">
        <v>76.319999999999993</v>
      </c>
    </row>
    <row r="55" spans="1:6" ht="15" customHeight="1" x14ac:dyDescent="0.3">
      <c r="A55" s="19">
        <v>4750</v>
      </c>
      <c r="B55" s="9" t="s">
        <v>404</v>
      </c>
      <c r="C55" s="34" t="s">
        <v>273</v>
      </c>
      <c r="D55" s="18">
        <f t="shared" si="1"/>
        <v>14.93</v>
      </c>
      <c r="E55" s="18">
        <v>12.9</v>
      </c>
      <c r="F55" s="18">
        <v>14.93</v>
      </c>
    </row>
    <row r="56" spans="1:6" ht="15" customHeight="1" x14ac:dyDescent="0.3">
      <c r="A56" s="19">
        <v>5050</v>
      </c>
      <c r="B56" s="9" t="s">
        <v>405</v>
      </c>
      <c r="C56" s="34" t="s">
        <v>78</v>
      </c>
      <c r="D56" s="18">
        <f t="shared" si="1"/>
        <v>398.68</v>
      </c>
      <c r="E56" s="18">
        <v>398.68</v>
      </c>
      <c r="F56" s="18">
        <v>398.68</v>
      </c>
    </row>
    <row r="57" spans="1:6" ht="15" customHeight="1" x14ac:dyDescent="0.3">
      <c r="A57" s="19">
        <v>20247</v>
      </c>
      <c r="B57" s="9" t="s">
        <v>406</v>
      </c>
      <c r="C57" s="34" t="s">
        <v>276</v>
      </c>
      <c r="D57" s="18">
        <f t="shared" si="1"/>
        <v>18.579999999999998</v>
      </c>
      <c r="E57" s="18">
        <v>18.579999999999998</v>
      </c>
      <c r="F57" s="18">
        <v>18.579999999999998</v>
      </c>
    </row>
    <row r="58" spans="1:6" ht="15" customHeight="1" x14ac:dyDescent="0.3">
      <c r="A58" s="19">
        <v>2510</v>
      </c>
      <c r="B58" s="9" t="s">
        <v>407</v>
      </c>
      <c r="C58" s="34" t="s">
        <v>78</v>
      </c>
      <c r="D58" s="18">
        <f t="shared" si="1"/>
        <v>19.03</v>
      </c>
      <c r="E58" s="18">
        <v>19.03</v>
      </c>
      <c r="F58" s="18">
        <v>19.03</v>
      </c>
    </row>
    <row r="59" spans="1:6" ht="15" customHeight="1" x14ac:dyDescent="0.3">
      <c r="A59" s="19">
        <v>37373</v>
      </c>
      <c r="B59" s="9" t="s">
        <v>408</v>
      </c>
      <c r="C59" s="34" t="s">
        <v>273</v>
      </c>
      <c r="D59" s="18">
        <f t="shared" si="1"/>
        <v>0.06</v>
      </c>
      <c r="E59" s="18">
        <v>0.06</v>
      </c>
      <c r="F59" s="18">
        <v>0.06</v>
      </c>
    </row>
    <row r="60" spans="1:6" ht="15" customHeight="1" x14ac:dyDescent="0.3">
      <c r="A60" s="19">
        <v>14618</v>
      </c>
      <c r="B60" s="9" t="s">
        <v>409</v>
      </c>
      <c r="C60" s="34" t="s">
        <v>78</v>
      </c>
      <c r="D60" s="18">
        <f t="shared" si="1"/>
        <v>1385.85</v>
      </c>
      <c r="E60" s="18">
        <v>1385.85</v>
      </c>
      <c r="F60" s="18">
        <v>1385.85</v>
      </c>
    </row>
    <row r="61" spans="1:6" ht="15" customHeight="1" x14ac:dyDescent="0.3">
      <c r="A61" s="19">
        <v>6111</v>
      </c>
      <c r="B61" s="9" t="s">
        <v>410</v>
      </c>
      <c r="C61" s="34" t="s">
        <v>273</v>
      </c>
      <c r="D61" s="18">
        <f t="shared" si="1"/>
        <v>10.6</v>
      </c>
      <c r="E61" s="18">
        <v>9.16</v>
      </c>
      <c r="F61" s="18">
        <v>10.6</v>
      </c>
    </row>
    <row r="62" spans="1:6" ht="15" customHeight="1" x14ac:dyDescent="0.3">
      <c r="A62" s="19">
        <v>1570</v>
      </c>
      <c r="B62" s="9" t="s">
        <v>411</v>
      </c>
      <c r="C62" s="34" t="s">
        <v>78</v>
      </c>
      <c r="D62" s="18">
        <f t="shared" si="1"/>
        <v>1</v>
      </c>
      <c r="E62" s="18">
        <v>1</v>
      </c>
      <c r="F62" s="18">
        <v>1</v>
      </c>
    </row>
    <row r="63" spans="1:6" ht="15" customHeight="1" x14ac:dyDescent="0.3">
      <c r="A63" s="19">
        <v>37371</v>
      </c>
      <c r="B63" s="9" t="s">
        <v>412</v>
      </c>
      <c r="C63" s="34" t="s">
        <v>273</v>
      </c>
      <c r="D63" s="18">
        <f t="shared" si="1"/>
        <v>0.7</v>
      </c>
      <c r="E63" s="18">
        <v>0.7</v>
      </c>
      <c r="F63" s="18">
        <v>0.7</v>
      </c>
    </row>
    <row r="64" spans="1:6" ht="15" customHeight="1" x14ac:dyDescent="0.3">
      <c r="A64" s="19">
        <v>13896</v>
      </c>
      <c r="B64" s="9" t="s">
        <v>413</v>
      </c>
      <c r="C64" s="34" t="s">
        <v>78</v>
      </c>
      <c r="D64" s="18">
        <f t="shared" si="1"/>
        <v>2825.82</v>
      </c>
      <c r="E64" s="18">
        <v>2825.82</v>
      </c>
      <c r="F64" s="18">
        <v>2825.82</v>
      </c>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tabSelected="1" view="pageBreakPreview" zoomScale="60" zoomScaleNormal="100" workbookViewId="0">
      <selection activeCell="Q24" sqref="Q24"/>
    </sheetView>
  </sheetViews>
  <sheetFormatPr defaultColWidth="9.109375" defaultRowHeight="15" customHeight="1" x14ac:dyDescent="0.3"/>
  <cols>
    <col min="1" max="1" width="12" style="1" customWidth="1"/>
    <col min="2" max="2" width="8" style="1" customWidth="1"/>
    <col min="3" max="3" width="4" style="1" customWidth="1"/>
    <col min="4" max="4" width="8" style="1" customWidth="1"/>
    <col min="5" max="6" width="21.88671875" style="1" customWidth="1"/>
    <col min="7" max="7" width="16" style="1" customWidth="1"/>
    <col min="8" max="9" width="7" style="1" customWidth="1"/>
    <col min="10" max="10" width="16.109375" style="1" customWidth="1"/>
    <col min="11" max="11" width="12.44140625" style="1" customWidth="1"/>
    <col min="12" max="16384" width="9.109375" style="1"/>
  </cols>
  <sheetData>
    <row r="1" spans="1:11" ht="15" customHeight="1" x14ac:dyDescent="0.3">
      <c r="A1" s="54" t="str">
        <f>CIDADE</f>
        <v>MUNICÍPIO DE FLORESTA DO PIAUI - PI</v>
      </c>
      <c r="B1" s="54"/>
      <c r="C1" s="54"/>
      <c r="D1" s="54"/>
      <c r="E1" s="54"/>
      <c r="F1" s="54"/>
      <c r="G1" s="54"/>
      <c r="H1" s="54"/>
      <c r="I1" s="54"/>
      <c r="J1" s="54"/>
      <c r="K1" s="54"/>
    </row>
    <row r="2" spans="1:11" ht="15" customHeight="1" x14ac:dyDescent="0.3">
      <c r="A2" s="54" t="str">
        <f>OBRA</f>
        <v>INSTALAÇÕES ELÉTRICAS DE ILUMINAÇÃO DE PASSARELA DE  U E WILSON NUNES MARTINS FILHO</v>
      </c>
      <c r="B2" s="54"/>
      <c r="C2" s="54"/>
      <c r="D2" s="54"/>
      <c r="E2" s="54"/>
      <c r="F2" s="54"/>
      <c r="G2" s="54"/>
      <c r="H2" s="54"/>
      <c r="I2" s="54"/>
      <c r="J2" s="54"/>
      <c r="K2" s="54"/>
    </row>
    <row r="3" spans="1:11" ht="15" customHeight="1" x14ac:dyDescent="0.3">
      <c r="A3" s="54" t="s">
        <v>19</v>
      </c>
      <c r="B3" s="54"/>
      <c r="C3" s="54"/>
      <c r="D3" s="54"/>
      <c r="E3" s="54"/>
      <c r="F3" s="54"/>
      <c r="G3" s="54"/>
      <c r="H3" s="54"/>
      <c r="I3" s="54"/>
      <c r="J3" s="54"/>
      <c r="K3" s="54"/>
    </row>
    <row r="4" spans="1:11" ht="15" customHeight="1" x14ac:dyDescent="0.3">
      <c r="A4" s="3"/>
      <c r="B4" s="3"/>
      <c r="C4" s="3"/>
      <c r="D4" s="3"/>
      <c r="E4" s="3"/>
      <c r="F4" s="3"/>
      <c r="G4" s="3"/>
      <c r="H4" s="3"/>
      <c r="I4" s="3"/>
      <c r="J4" s="3"/>
      <c r="K4" s="3"/>
    </row>
    <row r="5" spans="1:11" ht="15" customHeight="1" x14ac:dyDescent="0.3">
      <c r="A5" s="2" t="s">
        <v>3</v>
      </c>
      <c r="B5" s="4" t="str">
        <f>FONTE&amp;ONERA</f>
        <v>SINAPI PI-02/2021, SEINFRA 27, ORSE-01/2021, SEM DESONERAÇÃO</v>
      </c>
      <c r="C5" s="2"/>
      <c r="D5" s="2"/>
      <c r="E5" s="2"/>
      <c r="F5" s="3"/>
      <c r="G5" s="2" t="s">
        <v>6</v>
      </c>
      <c r="H5" s="5">
        <f>LEI</f>
        <v>112.14999999999999</v>
      </c>
      <c r="I5" s="3"/>
      <c r="J5" s="2" t="s">
        <v>7</v>
      </c>
      <c r="K5" s="5">
        <f>BDI</f>
        <v>21.25</v>
      </c>
    </row>
    <row r="6" spans="1:11" ht="15" customHeight="1" x14ac:dyDescent="0.3">
      <c r="A6" s="10" t="s">
        <v>20</v>
      </c>
      <c r="B6" s="55" t="s">
        <v>8</v>
      </c>
      <c r="C6" s="56"/>
      <c r="D6" s="56"/>
      <c r="E6" s="56"/>
      <c r="F6" s="56"/>
      <c r="G6" s="56"/>
      <c r="H6" s="56"/>
      <c r="I6" s="57"/>
      <c r="J6" s="10" t="s">
        <v>10</v>
      </c>
      <c r="K6" s="10" t="s">
        <v>21</v>
      </c>
    </row>
    <row r="7" spans="1:11" ht="15" customHeight="1" x14ac:dyDescent="0.3">
      <c r="A7" s="12">
        <v>1</v>
      </c>
      <c r="B7" s="58" t="str">
        <f>VLOOKUP(A7,ORCAMENTO!B:N,3,FALSE)</f>
        <v>INSTALAÇÕES ELÉTRICAS DE ILUMINAÇÃO DE PASSARELA DE U E WILSON NUNES MARTINS FILHO</v>
      </c>
      <c r="C7" s="59"/>
      <c r="D7" s="59"/>
      <c r="E7" s="59"/>
      <c r="F7" s="59"/>
      <c r="G7" s="59"/>
      <c r="H7" s="59"/>
      <c r="I7" s="60"/>
      <c r="J7" s="7">
        <f>VLOOKUP(A7,ORCAMENTO!B:N,12,FALSE)</f>
        <v>14852.17</v>
      </c>
      <c r="K7" s="13">
        <f>J7/$J$8</f>
        <v>1</v>
      </c>
    </row>
    <row r="8" spans="1:11" ht="15" customHeight="1" x14ac:dyDescent="0.3">
      <c r="A8" s="61" t="s">
        <v>22</v>
      </c>
      <c r="B8" s="62"/>
      <c r="C8" s="62"/>
      <c r="D8" s="62"/>
      <c r="E8" s="62"/>
      <c r="F8" s="62"/>
      <c r="G8" s="62"/>
      <c r="H8" s="62"/>
      <c r="I8" s="63"/>
      <c r="J8" s="14">
        <f>SUM(J7:J7)</f>
        <v>14852.17</v>
      </c>
      <c r="K8" s="15">
        <f>SUM(K7:K7)</f>
        <v>1</v>
      </c>
    </row>
    <row r="9" spans="1:11" ht="15" customHeight="1" x14ac:dyDescent="0.3">
      <c r="A9" s="3"/>
      <c r="B9" s="3"/>
      <c r="C9" s="3"/>
      <c r="D9" s="3"/>
      <c r="E9" s="3"/>
      <c r="F9" s="3"/>
      <c r="G9" s="3"/>
      <c r="H9" s="3"/>
      <c r="I9" s="3"/>
      <c r="J9" s="2" t="s">
        <v>12</v>
      </c>
      <c r="K9" s="2" t="s">
        <v>12</v>
      </c>
    </row>
    <row r="10" spans="1:11" ht="15" customHeight="1" x14ac:dyDescent="0.3">
      <c r="A10" s="3"/>
      <c r="B10" s="3"/>
      <c r="C10" s="3"/>
      <c r="D10" s="3"/>
      <c r="E10" s="3"/>
      <c r="F10" s="3"/>
      <c r="G10" s="3"/>
      <c r="H10" s="3"/>
      <c r="I10" s="3"/>
      <c r="J10" s="2" t="s">
        <v>12</v>
      </c>
      <c r="K10" s="2" t="s">
        <v>12</v>
      </c>
    </row>
  </sheetData>
  <sheetProtection formatCells="0" formatColumns="0" formatRows="0" insertColumns="0" insertRows="0" insertHyperlinks="0" deleteColumns="0" deleteRows="0" sort="0" autoFilter="0" pivotTables="0"/>
  <mergeCells count="6">
    <mergeCell ref="A8:I8"/>
    <mergeCell ref="A1:K1"/>
    <mergeCell ref="A2:K2"/>
    <mergeCell ref="A3:K3"/>
    <mergeCell ref="B6:I6"/>
    <mergeCell ref="B7:I7"/>
  </mergeCells>
  <pageMargins left="0.7" right="0.7" top="1.3149999999999999" bottom="0.75" header="0.3" footer="0.3"/>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tabSelected="1" view="pageBreakPreview" topLeftCell="A13" zoomScale="85" zoomScaleNormal="100" zoomScaleSheetLayoutView="85" workbookViewId="0">
      <selection activeCell="Q24" sqref="Q24"/>
    </sheetView>
  </sheetViews>
  <sheetFormatPr defaultColWidth="9.109375" defaultRowHeight="15" customHeight="1" x14ac:dyDescent="0.3"/>
  <cols>
    <col min="1" max="1" width="9.109375" style="1"/>
    <col min="2" max="2" width="12.6640625" style="1" hidden="1" customWidth="1"/>
    <col min="3" max="8" width="12.6640625" style="1" customWidth="1"/>
    <col min="9" max="9" width="8.6640625" style="1" customWidth="1"/>
    <col min="10" max="10" width="16.6640625" style="1" customWidth="1"/>
    <col min="11" max="14" width="8.6640625" style="1" customWidth="1"/>
    <col min="15" max="15" width="30.44140625" style="1" customWidth="1"/>
    <col min="16" max="16384" width="9.109375" style="1"/>
  </cols>
  <sheetData>
    <row r="1" spans="1:14" ht="15" customHeight="1" x14ac:dyDescent="0.3">
      <c r="B1" s="54" t="str">
        <f>CIDADE</f>
        <v>MUNICÍPIO DE FLORESTA DO PIAUI - PI</v>
      </c>
      <c r="C1" s="54"/>
      <c r="D1" s="54"/>
      <c r="E1" s="54"/>
      <c r="F1" s="54"/>
      <c r="G1" s="54"/>
      <c r="H1" s="54"/>
      <c r="I1" s="54"/>
      <c r="J1" s="54"/>
      <c r="K1" s="54"/>
      <c r="L1" s="54"/>
      <c r="M1" s="54"/>
      <c r="N1" s="54"/>
    </row>
    <row r="2" spans="1:14" ht="15" customHeight="1" x14ac:dyDescent="0.3">
      <c r="B2" s="54" t="str">
        <f>OBRA</f>
        <v>INSTALAÇÕES ELÉTRICAS DE ILUMINAÇÃO DE PASSARELA DE  U E WILSON NUNES MARTINS FILHO</v>
      </c>
      <c r="C2" s="54"/>
      <c r="D2" s="54"/>
      <c r="E2" s="54"/>
      <c r="F2" s="54"/>
      <c r="G2" s="54"/>
      <c r="H2" s="54"/>
      <c r="I2" s="54"/>
      <c r="J2" s="54"/>
      <c r="K2" s="54"/>
      <c r="L2" s="54"/>
      <c r="M2" s="54"/>
      <c r="N2" s="54"/>
    </row>
    <row r="3" spans="1:14" ht="15" customHeight="1" x14ac:dyDescent="0.3">
      <c r="B3" s="54" t="s">
        <v>23</v>
      </c>
      <c r="C3" s="54"/>
      <c r="D3" s="54"/>
      <c r="E3" s="54"/>
      <c r="F3" s="54"/>
      <c r="G3" s="54"/>
      <c r="H3" s="54"/>
      <c r="I3" s="54"/>
      <c r="J3" s="54"/>
      <c r="K3" s="54"/>
      <c r="L3" s="54"/>
      <c r="M3" s="54"/>
      <c r="N3" s="54"/>
    </row>
    <row r="4" spans="1:14" ht="15" customHeight="1" x14ac:dyDescent="0.3">
      <c r="B4" s="3"/>
      <c r="C4" s="3"/>
      <c r="D4" s="3"/>
      <c r="E4" s="3"/>
      <c r="F4" s="3"/>
      <c r="G4" s="3"/>
      <c r="H4" s="3"/>
      <c r="I4" s="3"/>
      <c r="J4" s="3"/>
      <c r="K4" s="3"/>
      <c r="L4" s="3"/>
      <c r="M4" s="3"/>
      <c r="N4" s="3"/>
    </row>
    <row r="5" spans="1:14" ht="15" customHeight="1" x14ac:dyDescent="0.3">
      <c r="B5" s="2" t="s">
        <v>3</v>
      </c>
      <c r="C5" s="2" t="s">
        <v>3</v>
      </c>
      <c r="D5" s="4" t="str">
        <f>FONTE&amp;ONERA</f>
        <v>SINAPI PI-02/2021, SEINFRA 27, ORSE-01/2021, SEM DESONERAÇÃO</v>
      </c>
      <c r="E5" s="2"/>
      <c r="F5" s="2"/>
      <c r="G5" s="2"/>
      <c r="H5" s="3"/>
      <c r="I5" s="3"/>
      <c r="J5" s="2" t="s">
        <v>6</v>
      </c>
      <c r="K5" s="5">
        <f>LEI</f>
        <v>112.14999999999999</v>
      </c>
      <c r="L5" s="3"/>
      <c r="M5" s="2" t="s">
        <v>7</v>
      </c>
      <c r="N5" s="5">
        <f>BDI</f>
        <v>21.25</v>
      </c>
    </row>
    <row r="6" spans="1:14" ht="30" customHeight="1" x14ac:dyDescent="0.3">
      <c r="A6" s="11" t="s">
        <v>20</v>
      </c>
      <c r="B6" s="10" t="s">
        <v>20</v>
      </c>
      <c r="C6" s="10" t="s">
        <v>414</v>
      </c>
      <c r="D6" s="10" t="s">
        <v>24</v>
      </c>
      <c r="E6" s="75" t="s">
        <v>8</v>
      </c>
      <c r="F6" s="76"/>
      <c r="G6" s="76"/>
      <c r="H6" s="76"/>
      <c r="I6" s="6" t="s">
        <v>25</v>
      </c>
      <c r="J6" s="6" t="s">
        <v>26</v>
      </c>
      <c r="K6" s="51" t="s">
        <v>27</v>
      </c>
      <c r="L6" s="53"/>
      <c r="M6" s="62" t="s">
        <v>10</v>
      </c>
      <c r="N6" s="63"/>
    </row>
    <row r="7" spans="1:14" ht="15" customHeight="1" x14ac:dyDescent="0.3">
      <c r="A7" s="40">
        <v>1</v>
      </c>
      <c r="B7" s="38">
        <v>1</v>
      </c>
      <c r="C7" s="37"/>
      <c r="D7" s="72" t="str">
        <f>VLOOKUP(B7,MEMORIA!A:P,2,FALSE)</f>
        <v>INSTALAÇÕES ELÉTRICAS DE ILUMINAÇÃO DE PASSARELA DE U E WILSON NUNES MARTINS FILHO</v>
      </c>
      <c r="E7" s="73"/>
      <c r="F7" s="73"/>
      <c r="G7" s="73"/>
      <c r="H7" s="73"/>
      <c r="I7" s="73"/>
      <c r="J7" s="73"/>
      <c r="K7" s="73"/>
      <c r="L7" s="74"/>
      <c r="M7" s="70">
        <f>SUM(M8:N18)</f>
        <v>14852.17</v>
      </c>
      <c r="N7" s="71"/>
    </row>
    <row r="8" spans="1:14" ht="30" customHeight="1" x14ac:dyDescent="0.3">
      <c r="A8" s="40" t="s">
        <v>28</v>
      </c>
      <c r="B8" s="39" t="s">
        <v>28</v>
      </c>
      <c r="C8" s="17" t="s">
        <v>415</v>
      </c>
      <c r="D8" s="17" t="str">
        <f>VLOOKUP(B8,MEMORIA!A:P,2,FALSE)</f>
        <v>COMP 2</v>
      </c>
      <c r="E8" s="64" t="str">
        <f>VLOOKUP(B8,MEMORIA!A:P,3,FALSE)</f>
        <v xml:space="preserve">BUCHA E ARRUELA DE AÇO GALV. D= 20MM (3/4") </v>
      </c>
      <c r="F8" s="64"/>
      <c r="G8" s="64"/>
      <c r="H8" s="64"/>
      <c r="I8" s="17" t="str">
        <f>VLOOKUP(B8,MEMORIA!A:P,7,FALSE)</f>
        <v>CJ</v>
      </c>
      <c r="J8" s="18">
        <f>VLOOKUP(B8,MEMORIA!A:P,16,FALSE)</f>
        <v>2</v>
      </c>
      <c r="K8" s="65">
        <f>VLOOKUP("TOTAL - "&amp;D8,COMPOSICAO!A:K,10,FALSE)</f>
        <v>1.3800000000000001</v>
      </c>
      <c r="L8" s="66"/>
      <c r="M8" s="67">
        <f t="shared" ref="M8:M17" si="0">ROUND(J8*K8,2)</f>
        <v>2.76</v>
      </c>
      <c r="N8" s="68"/>
    </row>
    <row r="9" spans="1:14" ht="60" customHeight="1" x14ac:dyDescent="0.3">
      <c r="A9" s="40" t="s">
        <v>29</v>
      </c>
      <c r="B9" s="39" t="s">
        <v>29</v>
      </c>
      <c r="C9" s="17" t="s">
        <v>416</v>
      </c>
      <c r="D9" s="17">
        <f>VLOOKUP(B9,MEMORIA!A:P,2,FALSE)</f>
        <v>91926</v>
      </c>
      <c r="E9" s="64" t="str">
        <f>VLOOKUP(B9,MEMORIA!A:P,3,FALSE)</f>
        <v>CABO DE COBRE FLEXÍVEL ISOLADO, 2,5 MM², ANTI-CHAMA 450/750 V, PARA CIRCUITOS TERMINAIS - FORNECIMENTO E INSTALAÇÃO. AF_12/2015</v>
      </c>
      <c r="F9" s="64"/>
      <c r="G9" s="64"/>
      <c r="H9" s="64"/>
      <c r="I9" s="17" t="str">
        <f>VLOOKUP(B9,MEMORIA!A:P,7,FALSE)</f>
        <v>M</v>
      </c>
      <c r="J9" s="18">
        <f>VLOOKUP(B9,MEMORIA!A:P,16,FALSE)</f>
        <v>216</v>
      </c>
      <c r="K9" s="65">
        <f>VLOOKUP("TOTAL - "&amp;D9,COMPOSICAO!A:K,10,FALSE)</f>
        <v>4.3699999999999992</v>
      </c>
      <c r="L9" s="66"/>
      <c r="M9" s="67">
        <f t="shared" si="0"/>
        <v>943.92</v>
      </c>
      <c r="N9" s="68"/>
    </row>
    <row r="10" spans="1:14" ht="60" customHeight="1" x14ac:dyDescent="0.3">
      <c r="A10" s="40" t="s">
        <v>30</v>
      </c>
      <c r="B10" s="39" t="s">
        <v>30</v>
      </c>
      <c r="C10" s="17" t="s">
        <v>416</v>
      </c>
      <c r="D10" s="17">
        <f>VLOOKUP(B10,MEMORIA!A:P,2,FALSE)</f>
        <v>91902</v>
      </c>
      <c r="E10" s="64" t="str">
        <f>VLOOKUP(B10,MEMORIA!A:P,3,FALSE)</f>
        <v>CURVA 90 GRAUS PARA ELETRODUTO, PVC, ROSCÁVEL, DN 25 MM (3/4"), PARA CIRCUITOS TERMINAIS, INSTALADA EM LAJE - FORNECIMENTO E INSTALAÇÃO. AF_12/2015</v>
      </c>
      <c r="F10" s="64"/>
      <c r="G10" s="64"/>
      <c r="H10" s="64"/>
      <c r="I10" s="17" t="str">
        <f>VLOOKUP(B10,MEMORIA!A:P,7,FALSE)</f>
        <v>UN</v>
      </c>
      <c r="J10" s="18">
        <f>VLOOKUP(B10,MEMORIA!A:P,16,FALSE)</f>
        <v>1</v>
      </c>
      <c r="K10" s="65">
        <f>VLOOKUP("TOTAL - "&amp;D10,COMPOSICAO!A:K,10,FALSE)</f>
        <v>11.88</v>
      </c>
      <c r="L10" s="66"/>
      <c r="M10" s="67">
        <f t="shared" si="0"/>
        <v>11.88</v>
      </c>
      <c r="N10" s="68"/>
    </row>
    <row r="11" spans="1:14" ht="60" customHeight="1" x14ac:dyDescent="0.3">
      <c r="A11" s="40" t="s">
        <v>31</v>
      </c>
      <c r="B11" s="39" t="s">
        <v>31</v>
      </c>
      <c r="C11" s="17" t="s">
        <v>416</v>
      </c>
      <c r="D11" s="17">
        <f>VLOOKUP(B11,MEMORIA!A:P,2,FALSE)</f>
        <v>97881</v>
      </c>
      <c r="E11" s="64" t="str">
        <f>VLOOKUP(B11,MEMORIA!A:P,3,FALSE)</f>
        <v>CAIXA ENTERRADA ELÉTRICA RETANGULAR, EM CONCRETO PRÉ-MOLDADO, FUNDO COM BRITA, DIMENSÕES INTERNAS: 0,3X0,3X0,3 M. AF_12/2020</v>
      </c>
      <c r="F11" s="64"/>
      <c r="G11" s="64"/>
      <c r="H11" s="64"/>
      <c r="I11" s="17" t="str">
        <f>VLOOKUP(B11,MEMORIA!A:P,7,FALSE)</f>
        <v>UN</v>
      </c>
      <c r="J11" s="18">
        <f>VLOOKUP(B11,MEMORIA!A:P,16,FALSE)</f>
        <v>9</v>
      </c>
      <c r="K11" s="65">
        <f>VLOOKUP("TOTAL - "&amp;D11,COMPOSICAO!A:K,10,FALSE)</f>
        <v>105.66</v>
      </c>
      <c r="L11" s="66"/>
      <c r="M11" s="67">
        <f t="shared" si="0"/>
        <v>950.94</v>
      </c>
      <c r="N11" s="68"/>
    </row>
    <row r="12" spans="1:14" ht="45" customHeight="1" x14ac:dyDescent="0.3">
      <c r="A12" s="40" t="s">
        <v>32</v>
      </c>
      <c r="B12" s="39" t="s">
        <v>32</v>
      </c>
      <c r="C12" s="17" t="s">
        <v>415</v>
      </c>
      <c r="D12" s="17" t="str">
        <f>VLOOKUP(B12,MEMORIA!A:P,2,FALSE)</f>
        <v>COMP 48</v>
      </c>
      <c r="E12" s="64" t="str">
        <f>VLOOKUP(B12,MEMORIA!A:P,3,FALSE)</f>
        <v xml:space="preserve">ELETRODUTO PVC FLEXIVEL CORRUGADO, REFORCADO, COR LARANJA, DE 25 MM, PARA LAJES E PISOS  , FORNECIMENTO E INSTALAÇÃO </v>
      </c>
      <c r="F12" s="64"/>
      <c r="G12" s="64"/>
      <c r="H12" s="64"/>
      <c r="I12" s="17" t="str">
        <f>VLOOKUP(B12,MEMORIA!A:P,7,FALSE)</f>
        <v>UN</v>
      </c>
      <c r="J12" s="18">
        <f>VLOOKUP(B12,MEMORIA!A:P,16,FALSE)</f>
        <v>56.34</v>
      </c>
      <c r="K12" s="65">
        <f>VLOOKUP("TOTAL - "&amp;D12,COMPOSICAO!A:K,10,FALSE)</f>
        <v>13.79</v>
      </c>
      <c r="L12" s="66"/>
      <c r="M12" s="67">
        <f t="shared" si="0"/>
        <v>776.93</v>
      </c>
      <c r="N12" s="68"/>
    </row>
    <row r="13" spans="1:14" ht="60" customHeight="1" x14ac:dyDescent="0.3">
      <c r="A13" s="40" t="s">
        <v>33</v>
      </c>
      <c r="B13" s="39" t="s">
        <v>33</v>
      </c>
      <c r="C13" s="17" t="s">
        <v>416</v>
      </c>
      <c r="D13" s="17">
        <f>VLOOKUP(B13,MEMORIA!A:P,2,FALSE)</f>
        <v>95727</v>
      </c>
      <c r="E13" s="64" t="str">
        <f>VLOOKUP(B13,MEMORIA!A:P,3,FALSE)</f>
        <v>ELETRODUTO RÍGIDO SOLDÁVEL, PVC, DN 25 MM (3/4), APARENTE, INSTALADO EM TETO - FORNECIMENTO E INSTALAÇÃO. AF_11/2016_P</v>
      </c>
      <c r="F13" s="64"/>
      <c r="G13" s="64"/>
      <c r="H13" s="64"/>
      <c r="I13" s="17" t="str">
        <f>VLOOKUP(B13,MEMORIA!A:P,7,FALSE)</f>
        <v>M</v>
      </c>
      <c r="J13" s="18">
        <f>VLOOKUP(B13,MEMORIA!A:P,16,FALSE)</f>
        <v>4.92</v>
      </c>
      <c r="K13" s="65">
        <f>VLOOKUP("TOTAL - "&amp;D13,COMPOSICAO!A:K,10,FALSE)</f>
        <v>7.02</v>
      </c>
      <c r="L13" s="66"/>
      <c r="M13" s="67">
        <f t="shared" si="0"/>
        <v>34.54</v>
      </c>
      <c r="N13" s="68"/>
    </row>
    <row r="14" spans="1:14" ht="45" customHeight="1" x14ac:dyDescent="0.3">
      <c r="A14" s="40" t="s">
        <v>34</v>
      </c>
      <c r="B14" s="39" t="s">
        <v>34</v>
      </c>
      <c r="C14" s="17" t="s">
        <v>416</v>
      </c>
      <c r="D14" s="17">
        <f>VLOOKUP(B14,MEMORIA!A:P,2,FALSE)</f>
        <v>93654</v>
      </c>
      <c r="E14" s="64" t="str">
        <f>VLOOKUP(B14,MEMORIA!A:P,3,FALSE)</f>
        <v>DISJUNTOR MONOPOLAR TIPO DIN, CORRENTE NOMINAL DE 16A - FORNECIMENTO E INSTALAÇÃO. AF_10/2020</v>
      </c>
      <c r="F14" s="64"/>
      <c r="G14" s="64"/>
      <c r="H14" s="64"/>
      <c r="I14" s="17" t="str">
        <f>VLOOKUP(B14,MEMORIA!A:P,7,FALSE)</f>
        <v>UN</v>
      </c>
      <c r="J14" s="18">
        <f>VLOOKUP(B14,MEMORIA!A:P,16,FALSE)</f>
        <v>2</v>
      </c>
      <c r="K14" s="65">
        <f>VLOOKUP("TOTAL - "&amp;D14,COMPOSICAO!A:K,10,FALSE)</f>
        <v>13.54</v>
      </c>
      <c r="L14" s="66"/>
      <c r="M14" s="67">
        <f t="shared" si="0"/>
        <v>27.08</v>
      </c>
      <c r="N14" s="68"/>
    </row>
    <row r="15" spans="1:14" ht="60" customHeight="1" x14ac:dyDescent="0.3">
      <c r="A15" s="40" t="s">
        <v>35</v>
      </c>
      <c r="B15" s="39" t="s">
        <v>36</v>
      </c>
      <c r="C15" s="17" t="s">
        <v>416</v>
      </c>
      <c r="D15" s="17">
        <f>VLOOKUP(B15,MEMORIA!A:P,2,FALSE)</f>
        <v>91875</v>
      </c>
      <c r="E15" s="64" t="str">
        <f>VLOOKUP(B15,MEMORIA!A:P,3,FALSE)</f>
        <v>LUVA PARA ELETRODUTO, PVC, ROSCÁVEL, DN 25 MM (3/4"), PARA CIRCUITOS TERMINAIS, INSTALADA EM FORRO - FORNECIMENTO E INSTALAÇÃO. AF_12/2015</v>
      </c>
      <c r="F15" s="64"/>
      <c r="G15" s="64"/>
      <c r="H15" s="64"/>
      <c r="I15" s="17" t="str">
        <f>VLOOKUP(B15,MEMORIA!A:P,7,FALSE)</f>
        <v>UN</v>
      </c>
      <c r="J15" s="18">
        <f>VLOOKUP(B15,MEMORIA!A:P,16,FALSE)</f>
        <v>2</v>
      </c>
      <c r="K15" s="65">
        <f>VLOOKUP("TOTAL - "&amp;D15,COMPOSICAO!A:K,10,FALSE)</f>
        <v>5.9799999999999995</v>
      </c>
      <c r="L15" s="66"/>
      <c r="M15" s="67">
        <f t="shared" si="0"/>
        <v>11.96</v>
      </c>
      <c r="N15" s="68"/>
    </row>
    <row r="16" spans="1:14" ht="75" customHeight="1" x14ac:dyDescent="0.3">
      <c r="A16" s="40" t="s">
        <v>36</v>
      </c>
      <c r="B16" s="39" t="s">
        <v>37</v>
      </c>
      <c r="C16" s="17" t="s">
        <v>415</v>
      </c>
      <c r="D16" s="17" t="str">
        <f>VLOOKUP(B16,MEMORIA!A:P,2,FALSE)</f>
        <v>Comp 213</v>
      </c>
      <c r="E16" s="64" t="str">
        <f>VLOOKUP(B16,MEMORIA!A:P,3,FALSE)</f>
        <v xml:space="preserve">POSTE CONICO CONTINUO EM ACO GALVANIZADO, RETO, FLANGEADO, H = 3 M, DIAMETRO INFERIOR = *95* MM COM INSTALAÇÃO DE LUMINARIA TIPO PÉTALA DE  2 X 50 W FORNECIMENTO E INSTALAÇÃO </v>
      </c>
      <c r="F16" s="64"/>
      <c r="G16" s="64"/>
      <c r="H16" s="64"/>
      <c r="I16" s="17" t="str">
        <f>VLOOKUP(B16,MEMORIA!A:P,7,FALSE)</f>
        <v>UN</v>
      </c>
      <c r="J16" s="18">
        <f>VLOOKUP(B16,MEMORIA!A:P,16,FALSE)</f>
        <v>8</v>
      </c>
      <c r="K16" s="65">
        <f>VLOOKUP("TOTAL - "&amp;D16,COMPOSICAO!A:K,10,FALSE)</f>
        <v>1463.7799999999997</v>
      </c>
      <c r="L16" s="66"/>
      <c r="M16" s="67">
        <f t="shared" si="0"/>
        <v>11710.24</v>
      </c>
      <c r="N16" s="68"/>
    </row>
    <row r="17" spans="1:14" ht="45" customHeight="1" x14ac:dyDescent="0.3">
      <c r="A17" s="40" t="s">
        <v>37</v>
      </c>
      <c r="B17" s="39" t="s">
        <v>38</v>
      </c>
      <c r="C17" s="17" t="s">
        <v>416</v>
      </c>
      <c r="D17" s="17">
        <f>VLOOKUP(B17,MEMORIA!A:P,2,FALSE)</f>
        <v>101632</v>
      </c>
      <c r="E17" s="64" t="str">
        <f>VLOOKUP(B17,MEMORIA!A:P,3,FALSE)</f>
        <v>RELÉ FOTOELÉTRICO PARA COMANDO DE ILUMINAÇÃO EXTERNA 1000 W - FORNECIMENTO E INSTALAÇÃO. AF_08/2020</v>
      </c>
      <c r="F17" s="64"/>
      <c r="G17" s="64"/>
      <c r="H17" s="64"/>
      <c r="I17" s="17" t="str">
        <f>VLOOKUP(B17,MEMORIA!A:P,7,FALSE)</f>
        <v>UN</v>
      </c>
      <c r="J17" s="18">
        <f>VLOOKUP(B17,MEMORIA!A:P,16,FALSE)</f>
        <v>16</v>
      </c>
      <c r="K17" s="65">
        <f>VLOOKUP("TOTAL - "&amp;D17,COMPOSICAO!A:K,10,FALSE)</f>
        <v>23.869999999999997</v>
      </c>
      <c r="L17" s="66"/>
      <c r="M17" s="67">
        <f t="shared" si="0"/>
        <v>381.92</v>
      </c>
      <c r="N17" s="68"/>
    </row>
    <row r="18" spans="1:14" ht="15" customHeight="1" x14ac:dyDescent="0.3">
      <c r="A18" s="41"/>
      <c r="B18" s="3"/>
      <c r="C18" s="3"/>
      <c r="D18" s="3"/>
      <c r="E18" s="3"/>
      <c r="F18" s="3"/>
      <c r="G18" s="3"/>
      <c r="H18" s="3"/>
      <c r="I18" s="3"/>
      <c r="J18" s="3"/>
      <c r="K18" s="3"/>
      <c r="L18" s="3"/>
      <c r="M18" s="3"/>
      <c r="N18" s="3"/>
    </row>
    <row r="19" spans="1:14" ht="15" customHeight="1" x14ac:dyDescent="0.3">
      <c r="A19" s="42"/>
      <c r="B19" s="69" t="s">
        <v>22</v>
      </c>
      <c r="C19" s="69"/>
      <c r="D19" s="69"/>
      <c r="E19" s="69"/>
      <c r="F19" s="69"/>
      <c r="G19" s="69"/>
      <c r="H19" s="69"/>
      <c r="I19" s="69"/>
      <c r="J19" s="69"/>
      <c r="K19" s="69"/>
      <c r="L19" s="69"/>
      <c r="M19" s="70">
        <f>SUM(M7,)</f>
        <v>14852.17</v>
      </c>
      <c r="N19" s="71"/>
    </row>
  </sheetData>
  <sheetProtection formatCells="0" formatColumns="0" formatRows="0" insertColumns="0" insertRows="0" insertHyperlinks="0" deleteColumns="0" deleteRows="0" sort="0" autoFilter="0" pivotTables="0"/>
  <mergeCells count="40">
    <mergeCell ref="E9:H9"/>
    <mergeCell ref="K9:L9"/>
    <mergeCell ref="M9:N9"/>
    <mergeCell ref="B1:N1"/>
    <mergeCell ref="B2:N2"/>
    <mergeCell ref="B3:N3"/>
    <mergeCell ref="E6:H6"/>
    <mergeCell ref="K6:L6"/>
    <mergeCell ref="M6:N6"/>
    <mergeCell ref="D7:L7"/>
    <mergeCell ref="M7:N7"/>
    <mergeCell ref="E8:H8"/>
    <mergeCell ref="K8:L8"/>
    <mergeCell ref="M8:N8"/>
    <mergeCell ref="E10:H10"/>
    <mergeCell ref="K10:L10"/>
    <mergeCell ref="M10:N10"/>
    <mergeCell ref="E11:H11"/>
    <mergeCell ref="K11:L11"/>
    <mergeCell ref="M11:N11"/>
    <mergeCell ref="E14:H14"/>
    <mergeCell ref="K14:L14"/>
    <mergeCell ref="M14:N14"/>
    <mergeCell ref="E12:H12"/>
    <mergeCell ref="K12:L12"/>
    <mergeCell ref="M12:N12"/>
    <mergeCell ref="E13:H13"/>
    <mergeCell ref="K13:L13"/>
    <mergeCell ref="M13:N13"/>
    <mergeCell ref="E15:H15"/>
    <mergeCell ref="K15:L15"/>
    <mergeCell ref="M15:N15"/>
    <mergeCell ref="E16:H16"/>
    <mergeCell ref="K16:L16"/>
    <mergeCell ref="M16:N16"/>
    <mergeCell ref="E17:H17"/>
    <mergeCell ref="K17:L17"/>
    <mergeCell ref="M17:N17"/>
    <mergeCell ref="B19:L19"/>
    <mergeCell ref="M19:N19"/>
  </mergeCells>
  <pageMargins left="0.70866141732283472" right="0.70866141732283472" top="1.299212598425197" bottom="0.74803149606299213" header="0.31496062992125984" footer="0.31496062992125984"/>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showGridLines="0" tabSelected="1" view="pageBreakPreview" topLeftCell="A16" zoomScale="60" zoomScaleNormal="100" workbookViewId="0">
      <selection activeCell="Q24" sqref="Q24"/>
    </sheetView>
  </sheetViews>
  <sheetFormatPr defaultColWidth="9.109375" defaultRowHeight="15" customHeight="1" x14ac:dyDescent="0.3"/>
  <cols>
    <col min="1" max="2" width="12.6640625" style="1" customWidth="1"/>
    <col min="3" max="3" width="4.6640625" style="1" customWidth="1"/>
    <col min="4" max="4" width="8.6640625" style="1" customWidth="1"/>
    <col min="5" max="5" width="19" style="1" customWidth="1"/>
    <col min="6" max="6" width="15.6640625" style="1" customWidth="1"/>
    <col min="7" max="14" width="10.6640625" style="1" customWidth="1"/>
    <col min="15" max="16" width="12.6640625" style="1" customWidth="1"/>
    <col min="17" max="16384" width="9.109375" style="1"/>
  </cols>
  <sheetData>
    <row r="1" spans="1:16" ht="15" customHeight="1" x14ac:dyDescent="0.3">
      <c r="A1" s="54" t="str">
        <f>CIDADE</f>
        <v>MUNICÍPIO DE FLORESTA DO PIAUI - PI</v>
      </c>
      <c r="B1" s="54"/>
      <c r="C1" s="54"/>
      <c r="D1" s="54"/>
      <c r="E1" s="54"/>
      <c r="F1" s="54"/>
      <c r="G1" s="54"/>
      <c r="H1" s="54"/>
      <c r="I1" s="54"/>
      <c r="J1" s="54"/>
      <c r="K1" s="54"/>
      <c r="L1" s="54"/>
      <c r="M1" s="54"/>
      <c r="N1" s="54"/>
      <c r="O1" s="54"/>
      <c r="P1" s="54"/>
    </row>
    <row r="2" spans="1:16" ht="15" customHeight="1" x14ac:dyDescent="0.3">
      <c r="A2" s="54" t="str">
        <f>OBRA</f>
        <v>INSTALAÇÕES ELÉTRICAS DE ILUMINAÇÃO DE PASSARELA DE  U E WILSON NUNES MARTINS FILHO</v>
      </c>
      <c r="B2" s="54"/>
      <c r="C2" s="54"/>
      <c r="D2" s="54"/>
      <c r="E2" s="54"/>
      <c r="F2" s="54"/>
      <c r="G2" s="54"/>
      <c r="H2" s="54"/>
      <c r="I2" s="54"/>
      <c r="J2" s="54"/>
      <c r="K2" s="54"/>
      <c r="L2" s="54"/>
      <c r="M2" s="54"/>
      <c r="N2" s="54"/>
      <c r="O2" s="54"/>
      <c r="P2" s="54"/>
    </row>
    <row r="3" spans="1:16" ht="15" customHeight="1" x14ac:dyDescent="0.3">
      <c r="A3" s="54" t="s">
        <v>39</v>
      </c>
      <c r="B3" s="54"/>
      <c r="C3" s="54"/>
      <c r="D3" s="54"/>
      <c r="E3" s="54"/>
      <c r="F3" s="54"/>
      <c r="G3" s="54"/>
      <c r="H3" s="54"/>
      <c r="I3" s="54"/>
      <c r="J3" s="54"/>
      <c r="K3" s="54"/>
      <c r="L3" s="54"/>
      <c r="M3" s="54"/>
      <c r="N3" s="54"/>
      <c r="O3" s="54"/>
      <c r="P3" s="54"/>
    </row>
    <row r="4" spans="1:16" ht="15" customHeight="1" x14ac:dyDescent="0.3">
      <c r="A4" s="3"/>
      <c r="B4" s="3"/>
      <c r="C4" s="3"/>
      <c r="D4" s="3"/>
      <c r="E4" s="3"/>
      <c r="F4" s="3"/>
      <c r="G4" s="3"/>
      <c r="H4" s="3"/>
      <c r="I4" s="3"/>
      <c r="J4" s="3"/>
      <c r="K4" s="3"/>
      <c r="L4" s="3"/>
      <c r="M4" s="3"/>
      <c r="N4" s="3"/>
      <c r="O4" s="3"/>
      <c r="P4" s="3"/>
    </row>
    <row r="5" spans="1:16" ht="15" customHeight="1" x14ac:dyDescent="0.3">
      <c r="A5" s="2" t="s">
        <v>3</v>
      </c>
      <c r="B5" s="4" t="str">
        <f>FONTE&amp;ONERA</f>
        <v>SINAPI PI-02/2021, SEINFRA 27, ORSE-01/2021, SEM DESONERAÇÃO</v>
      </c>
      <c r="C5" s="2"/>
      <c r="D5" s="2"/>
      <c r="E5" s="2"/>
      <c r="F5" s="3"/>
      <c r="G5" s="2"/>
      <c r="H5" s="5"/>
      <c r="I5" s="3"/>
      <c r="J5" s="3"/>
      <c r="K5" s="80" t="s">
        <v>6</v>
      </c>
      <c r="L5" s="80"/>
      <c r="M5" s="5">
        <f>LEI</f>
        <v>112.14999999999999</v>
      </c>
      <c r="N5" s="2"/>
      <c r="O5" s="2" t="s">
        <v>7</v>
      </c>
      <c r="P5" s="5">
        <f>BDI</f>
        <v>21.25</v>
      </c>
    </row>
    <row r="6" spans="1:16" ht="15" customHeight="1" x14ac:dyDescent="0.3">
      <c r="A6" s="10" t="s">
        <v>20</v>
      </c>
      <c r="B6" s="16" t="s">
        <v>24</v>
      </c>
      <c r="C6" s="51" t="s">
        <v>8</v>
      </c>
      <c r="D6" s="52"/>
      <c r="E6" s="52"/>
      <c r="F6" s="53"/>
      <c r="G6" s="6" t="s">
        <v>25</v>
      </c>
      <c r="H6" s="6" t="s">
        <v>26</v>
      </c>
      <c r="I6" s="6" t="s">
        <v>40</v>
      </c>
      <c r="J6" s="6" t="s">
        <v>41</v>
      </c>
      <c r="K6" s="6" t="s">
        <v>42</v>
      </c>
      <c r="L6" s="6" t="s">
        <v>43</v>
      </c>
      <c r="M6" s="6" t="s">
        <v>44</v>
      </c>
      <c r="N6" s="6" t="s">
        <v>45</v>
      </c>
      <c r="O6" s="6" t="s">
        <v>46</v>
      </c>
      <c r="P6" s="6" t="s">
        <v>22</v>
      </c>
    </row>
    <row r="7" spans="1:16" ht="15" customHeight="1" x14ac:dyDescent="0.3">
      <c r="A7" s="16">
        <v>1</v>
      </c>
      <c r="B7" s="81" t="s">
        <v>47</v>
      </c>
      <c r="C7" s="82"/>
      <c r="D7" s="82"/>
      <c r="E7" s="82"/>
      <c r="F7" s="82"/>
      <c r="G7" s="82"/>
      <c r="H7" s="82"/>
      <c r="I7" s="82"/>
      <c r="J7" s="82"/>
      <c r="K7" s="82"/>
      <c r="L7" s="82"/>
      <c r="M7" s="82"/>
      <c r="N7" s="82"/>
      <c r="O7" s="82"/>
      <c r="P7" s="83"/>
    </row>
    <row r="8" spans="1:16" ht="30" customHeight="1" x14ac:dyDescent="0.3">
      <c r="A8" s="17" t="s">
        <v>28</v>
      </c>
      <c r="B8" s="17" t="s">
        <v>48</v>
      </c>
      <c r="C8" s="77" t="str">
        <f>VLOOKUP(B8,COMPOSICAO!B:K,2,FALSE)</f>
        <v xml:space="preserve">BUCHA E ARRUELA DE AÇO GALV. D= 20MM (3/4") </v>
      </c>
      <c r="D8" s="78"/>
      <c r="E8" s="78"/>
      <c r="F8" s="79"/>
      <c r="G8" s="17" t="str">
        <f>VLOOKUP(B8,COMPOSICAO!B:K,6,FALSE)</f>
        <v>CJ</v>
      </c>
      <c r="H8" s="17"/>
      <c r="I8" s="17"/>
      <c r="J8" s="17"/>
      <c r="K8" s="17"/>
      <c r="L8" s="17"/>
      <c r="M8" s="17"/>
      <c r="N8" s="17"/>
      <c r="O8" s="17"/>
      <c r="P8" s="18">
        <f>SUM(O8:O10)</f>
        <v>2</v>
      </c>
    </row>
    <row r="9" spans="1:16" ht="15" customHeight="1" x14ac:dyDescent="0.3">
      <c r="A9" s="17" t="s">
        <v>49</v>
      </c>
      <c r="B9" s="77" t="s">
        <v>12</v>
      </c>
      <c r="C9" s="78"/>
      <c r="D9" s="78"/>
      <c r="E9" s="78"/>
      <c r="F9" s="79"/>
      <c r="G9" s="17"/>
      <c r="H9" s="18">
        <v>2</v>
      </c>
      <c r="I9" s="18"/>
      <c r="J9" s="18"/>
      <c r="K9" s="18"/>
      <c r="L9" s="18"/>
      <c r="M9" s="18" t="str">
        <f>IF(COUNTA(J9:L9)=2,ROUND(PRODUCT(J9:L9),2),"")</f>
        <v/>
      </c>
      <c r="N9" s="18" t="str">
        <f>IF(OR(COUNTA(J9:L9)=3,AND(COUNTA(J9:L9)=1,M9&lt;&gt;"")),ROUND(PRODUCT(J9:M9),2),"")</f>
        <v/>
      </c>
      <c r="O9" s="18">
        <f>IF(N9&lt;&gt;"",ROUND(PRODUCT(H9,I9,N9),2),IF(M9&lt;&gt;"",ROUND(PRODUCT(H9,I9,M9),2),ROUND(PRODUCT(H9:L9),2)))</f>
        <v>2</v>
      </c>
      <c r="P9" s="18"/>
    </row>
    <row r="10" spans="1:16" ht="15" customHeight="1" x14ac:dyDescent="0.3">
      <c r="A10" s="3"/>
      <c r="B10" s="3"/>
      <c r="C10" s="3"/>
      <c r="D10" s="3"/>
      <c r="E10" s="3"/>
      <c r="F10" s="3"/>
      <c r="G10" s="3"/>
      <c r="H10" s="3"/>
      <c r="I10" s="3"/>
      <c r="J10" s="3"/>
      <c r="K10" s="3"/>
      <c r="L10" s="3"/>
      <c r="M10" s="3"/>
      <c r="N10" s="3"/>
      <c r="O10" s="3"/>
      <c r="P10" s="3"/>
    </row>
    <row r="11" spans="1:16" ht="60" customHeight="1" x14ac:dyDescent="0.3">
      <c r="A11" s="17" t="s">
        <v>29</v>
      </c>
      <c r="B11" s="19">
        <v>91926</v>
      </c>
      <c r="C11" s="77" t="str">
        <f>VLOOKUP(B11,COMPOSICAO!B:K,2,FALSE)</f>
        <v>CABO DE COBRE FLEXÍVEL ISOLADO, 2,5 MM², ANTI-CHAMA 450/750 V, PARA CIRCUITOS TERMINAIS - FORNECIMENTO E INSTALAÇÃO. AF_12/2015</v>
      </c>
      <c r="D11" s="78"/>
      <c r="E11" s="78"/>
      <c r="F11" s="79"/>
      <c r="G11" s="17" t="str">
        <f>VLOOKUP(B11,COMPOSICAO!B:K,6,FALSE)</f>
        <v>M</v>
      </c>
      <c r="H11" s="17"/>
      <c r="I11" s="17"/>
      <c r="J11" s="17"/>
      <c r="K11" s="17"/>
      <c r="L11" s="17"/>
      <c r="M11" s="17"/>
      <c r="N11" s="17"/>
      <c r="O11" s="17"/>
      <c r="P11" s="18">
        <f>SUM(O11:O13)</f>
        <v>216</v>
      </c>
    </row>
    <row r="12" spans="1:16" ht="15" customHeight="1" x14ac:dyDescent="0.3">
      <c r="A12" s="17" t="s">
        <v>50</v>
      </c>
      <c r="B12" s="77" t="s">
        <v>12</v>
      </c>
      <c r="C12" s="78"/>
      <c r="D12" s="78"/>
      <c r="E12" s="78"/>
      <c r="F12" s="79"/>
      <c r="G12" s="17"/>
      <c r="H12" s="18">
        <v>216</v>
      </c>
      <c r="I12" s="18"/>
      <c r="J12" s="18"/>
      <c r="K12" s="18"/>
      <c r="L12" s="18"/>
      <c r="M12" s="18" t="str">
        <f>IF(COUNTA(J12:L12)=2,ROUND(PRODUCT(J12:L12),2),"")</f>
        <v/>
      </c>
      <c r="N12" s="18" t="str">
        <f>IF(OR(COUNTA(J12:L12)=3,AND(COUNTA(J12:L12)=1,M12&lt;&gt;"")),ROUND(PRODUCT(J12:M12),2),"")</f>
        <v/>
      </c>
      <c r="O12" s="18">
        <f>IF(N12&lt;&gt;"",ROUND(PRODUCT(H12,I12,N12),2),IF(M12&lt;&gt;"",ROUND(PRODUCT(H12,I12,M12),2),ROUND(PRODUCT(H12:L12),2)))</f>
        <v>216</v>
      </c>
      <c r="P12" s="18"/>
    </row>
    <row r="13" spans="1:16" ht="15" customHeight="1" x14ac:dyDescent="0.3">
      <c r="A13" s="3"/>
      <c r="B13" s="3"/>
      <c r="C13" s="3"/>
      <c r="D13" s="3"/>
      <c r="E13" s="3"/>
      <c r="F13" s="3"/>
      <c r="G13" s="3"/>
      <c r="H13" s="3"/>
      <c r="I13" s="3"/>
      <c r="J13" s="3"/>
      <c r="K13" s="3"/>
      <c r="L13" s="3"/>
      <c r="M13" s="3"/>
      <c r="N13" s="3"/>
      <c r="O13" s="3"/>
      <c r="P13" s="3"/>
    </row>
    <row r="14" spans="1:16" ht="60" customHeight="1" x14ac:dyDescent="0.3">
      <c r="A14" s="17" t="s">
        <v>30</v>
      </c>
      <c r="B14" s="19">
        <v>91902</v>
      </c>
      <c r="C14" s="77" t="str">
        <f>VLOOKUP(B14,COMPOSICAO!B:K,2,FALSE)</f>
        <v>CURVA 90 GRAUS PARA ELETRODUTO, PVC, ROSCÁVEL, DN 25 MM (3/4"), PARA CIRCUITOS TERMINAIS, INSTALADA EM LAJE - FORNECIMENTO E INSTALAÇÃO. AF_12/2015</v>
      </c>
      <c r="D14" s="78"/>
      <c r="E14" s="78"/>
      <c r="F14" s="79"/>
      <c r="G14" s="17" t="str">
        <f>VLOOKUP(B14,COMPOSICAO!B:K,6,FALSE)</f>
        <v>UN</v>
      </c>
      <c r="H14" s="17"/>
      <c r="I14" s="17"/>
      <c r="J14" s="17"/>
      <c r="K14" s="17"/>
      <c r="L14" s="17"/>
      <c r="M14" s="17"/>
      <c r="N14" s="17"/>
      <c r="O14" s="17"/>
      <c r="P14" s="18">
        <f>SUM(O14:O16)</f>
        <v>1</v>
      </c>
    </row>
    <row r="15" spans="1:16" ht="15" customHeight="1" x14ac:dyDescent="0.3">
      <c r="A15" s="17" t="s">
        <v>51</v>
      </c>
      <c r="B15" s="77" t="s">
        <v>12</v>
      </c>
      <c r="C15" s="78"/>
      <c r="D15" s="78"/>
      <c r="E15" s="78"/>
      <c r="F15" s="79"/>
      <c r="G15" s="17"/>
      <c r="H15" s="18">
        <v>1</v>
      </c>
      <c r="I15" s="18"/>
      <c r="J15" s="18"/>
      <c r="K15" s="18"/>
      <c r="L15" s="18"/>
      <c r="M15" s="18" t="str">
        <f>IF(COUNTA(J15:L15)=2,ROUND(PRODUCT(J15:L15),2),"")</f>
        <v/>
      </c>
      <c r="N15" s="18" t="str">
        <f>IF(OR(COUNTA(J15:L15)=3,AND(COUNTA(J15:L15)=1,M15&lt;&gt;"")),ROUND(PRODUCT(J15:M15),2),"")</f>
        <v/>
      </c>
      <c r="O15" s="18">
        <f>IF(N15&lt;&gt;"",ROUND(PRODUCT(H15,I15,N15),2),IF(M15&lt;&gt;"",ROUND(PRODUCT(H15,I15,M15),2),ROUND(PRODUCT(H15:L15),2)))</f>
        <v>1</v>
      </c>
      <c r="P15" s="18"/>
    </row>
    <row r="16" spans="1:16" ht="15" customHeight="1" x14ac:dyDescent="0.3">
      <c r="A16" s="3"/>
      <c r="B16" s="3"/>
      <c r="C16" s="3"/>
      <c r="D16" s="3"/>
      <c r="E16" s="3"/>
      <c r="F16" s="3"/>
      <c r="G16" s="3"/>
      <c r="H16" s="3"/>
      <c r="I16" s="3"/>
      <c r="J16" s="3"/>
      <c r="K16" s="3"/>
      <c r="L16" s="3"/>
      <c r="M16" s="3"/>
      <c r="N16" s="3"/>
      <c r="O16" s="3"/>
      <c r="P16" s="3"/>
    </row>
    <row r="17" spans="1:16" ht="60" customHeight="1" x14ac:dyDescent="0.3">
      <c r="A17" s="17" t="s">
        <v>31</v>
      </c>
      <c r="B17" s="19">
        <v>97881</v>
      </c>
      <c r="C17" s="77" t="str">
        <f>VLOOKUP(B17,COMPOSICAO!B:K,2,FALSE)</f>
        <v>CAIXA ENTERRADA ELÉTRICA RETANGULAR, EM CONCRETO PRÉ-MOLDADO, FUNDO COM BRITA, DIMENSÕES INTERNAS: 0,3X0,3X0,3 M. AF_12/2020</v>
      </c>
      <c r="D17" s="78"/>
      <c r="E17" s="78"/>
      <c r="F17" s="79"/>
      <c r="G17" s="17" t="str">
        <f>VLOOKUP(B17,COMPOSICAO!B:K,6,FALSE)</f>
        <v>UN</v>
      </c>
      <c r="H17" s="17"/>
      <c r="I17" s="17"/>
      <c r="J17" s="17"/>
      <c r="K17" s="17"/>
      <c r="L17" s="17"/>
      <c r="M17" s="17"/>
      <c r="N17" s="17"/>
      <c r="O17" s="17"/>
      <c r="P17" s="18">
        <f>SUM(O17:O19)</f>
        <v>9</v>
      </c>
    </row>
    <row r="18" spans="1:16" ht="15" customHeight="1" x14ac:dyDescent="0.3">
      <c r="A18" s="17" t="s">
        <v>52</v>
      </c>
      <c r="B18" s="77" t="s">
        <v>12</v>
      </c>
      <c r="C18" s="78"/>
      <c r="D18" s="78"/>
      <c r="E18" s="78"/>
      <c r="F18" s="79"/>
      <c r="G18" s="17"/>
      <c r="H18" s="18">
        <v>9</v>
      </c>
      <c r="I18" s="18"/>
      <c r="J18" s="18"/>
      <c r="K18" s="18"/>
      <c r="L18" s="18"/>
      <c r="M18" s="18" t="str">
        <f>IF(COUNTA(J18:L18)=2,ROUND(PRODUCT(J18:L18),2),"")</f>
        <v/>
      </c>
      <c r="N18" s="18" t="str">
        <f>IF(OR(COUNTA(J18:L18)=3,AND(COUNTA(J18:L18)=1,M18&lt;&gt;"")),ROUND(PRODUCT(J18:M18),2),"")</f>
        <v/>
      </c>
      <c r="O18" s="18">
        <f>IF(N18&lt;&gt;"",ROUND(PRODUCT(H18,I18,N18),2),IF(M18&lt;&gt;"",ROUND(PRODUCT(H18,I18,M18),2),ROUND(PRODUCT(H18:L18),2)))</f>
        <v>9</v>
      </c>
      <c r="P18" s="18"/>
    </row>
    <row r="19" spans="1:16" ht="15" customHeight="1" x14ac:dyDescent="0.3">
      <c r="A19" s="3"/>
      <c r="B19" s="3"/>
      <c r="C19" s="3"/>
      <c r="D19" s="3"/>
      <c r="E19" s="3"/>
      <c r="F19" s="3"/>
      <c r="G19" s="3"/>
      <c r="H19" s="3"/>
      <c r="I19" s="3"/>
      <c r="J19" s="3"/>
      <c r="K19" s="3"/>
      <c r="L19" s="3"/>
      <c r="M19" s="3"/>
      <c r="N19" s="3"/>
      <c r="O19" s="3"/>
      <c r="P19" s="3"/>
    </row>
    <row r="20" spans="1:16" ht="45" customHeight="1" x14ac:dyDescent="0.3">
      <c r="A20" s="17" t="s">
        <v>32</v>
      </c>
      <c r="B20" s="17" t="s">
        <v>53</v>
      </c>
      <c r="C20" s="77" t="str">
        <f>VLOOKUP(B20,COMPOSICAO!B:K,2,FALSE)</f>
        <v xml:space="preserve">ELETRODUTO PVC FLEXIVEL CORRUGADO, REFORCADO, COR LARANJA, DE 25 MM, PARA LAJES E PISOS  , FORNECIMENTO E INSTALAÇÃO </v>
      </c>
      <c r="D20" s="78"/>
      <c r="E20" s="78"/>
      <c r="F20" s="79"/>
      <c r="G20" s="17" t="str">
        <f>VLOOKUP(B20,COMPOSICAO!B:K,6,FALSE)</f>
        <v>UN</v>
      </c>
      <c r="H20" s="17"/>
      <c r="I20" s="17"/>
      <c r="J20" s="17"/>
      <c r="K20" s="17"/>
      <c r="L20" s="17"/>
      <c r="M20" s="17"/>
      <c r="N20" s="17"/>
      <c r="O20" s="17"/>
      <c r="P20" s="18">
        <f>SUM(O20:O22)</f>
        <v>56.34</v>
      </c>
    </row>
    <row r="21" spans="1:16" ht="15" customHeight="1" x14ac:dyDescent="0.3">
      <c r="A21" s="17" t="s">
        <v>54</v>
      </c>
      <c r="B21" s="77" t="s">
        <v>12</v>
      </c>
      <c r="C21" s="78"/>
      <c r="D21" s="78"/>
      <c r="E21" s="78"/>
      <c r="F21" s="79"/>
      <c r="G21" s="17"/>
      <c r="H21" s="18">
        <v>56.34</v>
      </c>
      <c r="I21" s="18"/>
      <c r="J21" s="18"/>
      <c r="K21" s="18"/>
      <c r="L21" s="18"/>
      <c r="M21" s="18" t="str">
        <f>IF(COUNTA(J21:L21)=2,ROUND(PRODUCT(J21:L21),2),"")</f>
        <v/>
      </c>
      <c r="N21" s="18" t="str">
        <f>IF(OR(COUNTA(J21:L21)=3,AND(COUNTA(J21:L21)=1,M21&lt;&gt;"")),ROUND(PRODUCT(J21:M21),2),"")</f>
        <v/>
      </c>
      <c r="O21" s="18">
        <f>IF(N21&lt;&gt;"",ROUND(PRODUCT(H21,I21,N21),2),IF(M21&lt;&gt;"",ROUND(PRODUCT(H21,I21,M21),2),ROUND(PRODUCT(H21:L21),2)))</f>
        <v>56.34</v>
      </c>
      <c r="P21" s="18"/>
    </row>
    <row r="22" spans="1:16" ht="15" customHeight="1" x14ac:dyDescent="0.3">
      <c r="A22" s="3"/>
      <c r="B22" s="3"/>
      <c r="C22" s="3"/>
      <c r="D22" s="3"/>
      <c r="E22" s="3"/>
      <c r="F22" s="3"/>
      <c r="G22" s="3"/>
      <c r="H22" s="3"/>
      <c r="I22" s="3"/>
      <c r="J22" s="3"/>
      <c r="K22" s="3"/>
      <c r="L22" s="3"/>
      <c r="M22" s="3"/>
      <c r="N22" s="3"/>
      <c r="O22" s="3"/>
      <c r="P22" s="3"/>
    </row>
    <row r="23" spans="1:16" ht="60" customHeight="1" x14ac:dyDescent="0.3">
      <c r="A23" s="17" t="s">
        <v>33</v>
      </c>
      <c r="B23" s="19">
        <v>95727</v>
      </c>
      <c r="C23" s="77" t="str">
        <f>VLOOKUP(B23,COMPOSICAO!B:K,2,FALSE)</f>
        <v>ELETRODUTO RÍGIDO SOLDÁVEL, PVC, DN 25 MM (3/4), APARENTE, INSTALADO EM TETO - FORNECIMENTO E INSTALAÇÃO. AF_11/2016_P</v>
      </c>
      <c r="D23" s="78"/>
      <c r="E23" s="78"/>
      <c r="F23" s="79"/>
      <c r="G23" s="17" t="str">
        <f>VLOOKUP(B23,COMPOSICAO!B:K,6,FALSE)</f>
        <v>M</v>
      </c>
      <c r="H23" s="17"/>
      <c r="I23" s="17"/>
      <c r="J23" s="17"/>
      <c r="K23" s="17"/>
      <c r="L23" s="17"/>
      <c r="M23" s="17"/>
      <c r="N23" s="17"/>
      <c r="O23" s="17"/>
      <c r="P23" s="18">
        <f>SUM(O23:O25)</f>
        <v>4.92</v>
      </c>
    </row>
    <row r="24" spans="1:16" ht="15" customHeight="1" x14ac:dyDescent="0.3">
      <c r="A24" s="17" t="s">
        <v>55</v>
      </c>
      <c r="B24" s="77" t="s">
        <v>12</v>
      </c>
      <c r="C24" s="78"/>
      <c r="D24" s="78"/>
      <c r="E24" s="78"/>
      <c r="F24" s="79"/>
      <c r="G24" s="17"/>
      <c r="H24" s="18">
        <v>4.92</v>
      </c>
      <c r="I24" s="18"/>
      <c r="J24" s="18"/>
      <c r="K24" s="18"/>
      <c r="L24" s="18"/>
      <c r="M24" s="18" t="str">
        <f>IF(COUNTA(J24:L24)=2,ROUND(PRODUCT(J24:L24),2),"")</f>
        <v/>
      </c>
      <c r="N24" s="18" t="str">
        <f>IF(OR(COUNTA(J24:L24)=3,AND(COUNTA(J24:L24)=1,M24&lt;&gt;"")),ROUND(PRODUCT(J24:M24),2),"")</f>
        <v/>
      </c>
      <c r="O24" s="18">
        <f>IF(N24&lt;&gt;"",ROUND(PRODUCT(H24,I24,N24),2),IF(M24&lt;&gt;"",ROUND(PRODUCT(H24,I24,M24),2),ROUND(PRODUCT(H24:L24),2)))</f>
        <v>4.92</v>
      </c>
      <c r="P24" s="18"/>
    </row>
    <row r="25" spans="1:16" ht="15" customHeight="1" x14ac:dyDescent="0.3">
      <c r="A25" s="3"/>
      <c r="B25" s="3"/>
      <c r="C25" s="3"/>
      <c r="D25" s="3"/>
      <c r="E25" s="3"/>
      <c r="F25" s="3"/>
      <c r="G25" s="3"/>
      <c r="H25" s="3"/>
      <c r="I25" s="3"/>
      <c r="J25" s="3"/>
      <c r="K25" s="3"/>
      <c r="L25" s="3"/>
      <c r="M25" s="3"/>
      <c r="N25" s="3"/>
      <c r="O25" s="3"/>
      <c r="P25" s="3"/>
    </row>
    <row r="26" spans="1:16" ht="45" customHeight="1" x14ac:dyDescent="0.3">
      <c r="A26" s="17" t="s">
        <v>34</v>
      </c>
      <c r="B26" s="19">
        <v>93654</v>
      </c>
      <c r="C26" s="77" t="str">
        <f>VLOOKUP(B26,COMPOSICAO!B:K,2,FALSE)</f>
        <v>DISJUNTOR MONOPOLAR TIPO DIN, CORRENTE NOMINAL DE 16A - FORNECIMENTO E INSTALAÇÃO. AF_10/2020</v>
      </c>
      <c r="D26" s="78"/>
      <c r="E26" s="78"/>
      <c r="F26" s="79"/>
      <c r="G26" s="17" t="str">
        <f>VLOOKUP(B26,COMPOSICAO!B:K,6,FALSE)</f>
        <v>UN</v>
      </c>
      <c r="H26" s="17"/>
      <c r="I26" s="17"/>
      <c r="J26" s="17"/>
      <c r="K26" s="17"/>
      <c r="L26" s="17"/>
      <c r="M26" s="17"/>
      <c r="N26" s="17"/>
      <c r="O26" s="17"/>
      <c r="P26" s="18">
        <f>SUM(O26:O28)</f>
        <v>2</v>
      </c>
    </row>
    <row r="27" spans="1:16" ht="15" customHeight="1" x14ac:dyDescent="0.3">
      <c r="A27" s="17" t="s">
        <v>56</v>
      </c>
      <c r="B27" s="77" t="s">
        <v>12</v>
      </c>
      <c r="C27" s="78"/>
      <c r="D27" s="78"/>
      <c r="E27" s="78"/>
      <c r="F27" s="79"/>
      <c r="G27" s="17"/>
      <c r="H27" s="18">
        <v>2</v>
      </c>
      <c r="I27" s="18"/>
      <c r="J27" s="18"/>
      <c r="K27" s="18"/>
      <c r="L27" s="18"/>
      <c r="M27" s="18" t="str">
        <f>IF(COUNTA(J27:L27)=2,ROUND(PRODUCT(J27:L27),2),"")</f>
        <v/>
      </c>
      <c r="N27" s="18" t="str">
        <f>IF(OR(COUNTA(J27:L27)=3,AND(COUNTA(J27:L27)=1,M27&lt;&gt;"")),ROUND(PRODUCT(J27:M27),2),"")</f>
        <v/>
      </c>
      <c r="O27" s="18">
        <f>IF(N27&lt;&gt;"",ROUND(PRODUCT(H27,I27,N27),2),IF(M27&lt;&gt;"",ROUND(PRODUCT(H27,I27,M27),2),ROUND(PRODUCT(H27:L27),2)))</f>
        <v>2</v>
      </c>
      <c r="P27" s="18"/>
    </row>
    <row r="28" spans="1:16" ht="15" customHeight="1" x14ac:dyDescent="0.3">
      <c r="A28" s="3"/>
      <c r="B28" s="3"/>
      <c r="C28" s="3"/>
      <c r="D28" s="3"/>
      <c r="E28" s="3"/>
      <c r="F28" s="3"/>
      <c r="G28" s="3"/>
      <c r="H28" s="3"/>
      <c r="I28" s="3"/>
      <c r="J28" s="3"/>
      <c r="K28" s="3"/>
      <c r="L28" s="3"/>
      <c r="M28" s="3"/>
      <c r="N28" s="3"/>
      <c r="O28" s="3"/>
      <c r="P28" s="3"/>
    </row>
    <row r="29" spans="1:16" ht="75" customHeight="1" x14ac:dyDescent="0.3">
      <c r="A29" s="17" t="s">
        <v>35</v>
      </c>
      <c r="B29" s="17" t="s">
        <v>57</v>
      </c>
      <c r="C29" s="77" t="str">
        <f>VLOOKUP(B29,COMPOSICAO!B:K,2,FALSE)</f>
        <v xml:space="preserve">POSTE CONICO CONTINUO EM ACO GALVANIZADO, RETO, FLANGEADO, H = 3 M, DIAMETRO INFERIOR = *95* MM COM INSTALAÇÃO DE LUMINARIA TIPO PÉTALA DE  2 X 50 W FORNECIMENTO E INSTALAÇÃO </v>
      </c>
      <c r="D29" s="78"/>
      <c r="E29" s="78"/>
      <c r="F29" s="79"/>
      <c r="G29" s="17" t="str">
        <f>VLOOKUP(B29,COMPOSICAO!B:K,6,FALSE)</f>
        <v>UN</v>
      </c>
      <c r="H29" s="17"/>
      <c r="I29" s="17"/>
      <c r="J29" s="17"/>
      <c r="K29" s="17"/>
      <c r="L29" s="17"/>
      <c r="M29" s="17"/>
      <c r="N29" s="17"/>
      <c r="O29" s="17"/>
      <c r="P29" s="18">
        <f>SUM(O29:O31)</f>
        <v>2</v>
      </c>
    </row>
    <row r="30" spans="1:16" ht="15" customHeight="1" x14ac:dyDescent="0.3">
      <c r="A30" s="17" t="s">
        <v>58</v>
      </c>
      <c r="B30" s="77" t="s">
        <v>12</v>
      </c>
      <c r="C30" s="78"/>
      <c r="D30" s="78"/>
      <c r="E30" s="78"/>
      <c r="F30" s="79"/>
      <c r="G30" s="17"/>
      <c r="H30" s="18">
        <v>2</v>
      </c>
      <c r="I30" s="18"/>
      <c r="J30" s="18"/>
      <c r="K30" s="18"/>
      <c r="L30" s="18"/>
      <c r="M30" s="18" t="str">
        <f>IF(COUNTA(J30:L30)=2,ROUND(PRODUCT(J30:L30),2),"")</f>
        <v/>
      </c>
      <c r="N30" s="18" t="str">
        <f>IF(OR(COUNTA(J30:L30)=3,AND(COUNTA(J30:L30)=1,M30&lt;&gt;"")),ROUND(PRODUCT(J30:M30),2),"")</f>
        <v/>
      </c>
      <c r="O30" s="18">
        <f>IF(N30&lt;&gt;"",ROUND(PRODUCT(H30,I30,N30),2),IF(M30&lt;&gt;"",ROUND(PRODUCT(H30,I30,M30),2),ROUND(PRODUCT(H30:L30),2)))</f>
        <v>2</v>
      </c>
      <c r="P30" s="18"/>
    </row>
    <row r="31" spans="1:16" ht="15" customHeight="1" x14ac:dyDescent="0.3">
      <c r="A31" s="3"/>
      <c r="B31" s="3"/>
      <c r="C31" s="3"/>
      <c r="D31" s="3"/>
      <c r="E31" s="3"/>
      <c r="F31" s="3"/>
      <c r="G31" s="3"/>
      <c r="H31" s="3"/>
      <c r="I31" s="3"/>
      <c r="J31" s="3"/>
      <c r="K31" s="3"/>
      <c r="L31" s="3"/>
      <c r="M31" s="3"/>
      <c r="N31" s="3"/>
      <c r="O31" s="3"/>
      <c r="P31" s="3"/>
    </row>
    <row r="32" spans="1:16" ht="60" customHeight="1" x14ac:dyDescent="0.3">
      <c r="A32" s="17" t="s">
        <v>36</v>
      </c>
      <c r="B32" s="19">
        <v>91875</v>
      </c>
      <c r="C32" s="77" t="str">
        <f>VLOOKUP(B32,COMPOSICAO!B:K,2,FALSE)</f>
        <v>LUVA PARA ELETRODUTO, PVC, ROSCÁVEL, DN 25 MM (3/4"), PARA CIRCUITOS TERMINAIS, INSTALADA EM FORRO - FORNECIMENTO E INSTALAÇÃO. AF_12/2015</v>
      </c>
      <c r="D32" s="78"/>
      <c r="E32" s="78"/>
      <c r="F32" s="79"/>
      <c r="G32" s="17" t="str">
        <f>VLOOKUP(B32,COMPOSICAO!B:K,6,FALSE)</f>
        <v>UN</v>
      </c>
      <c r="H32" s="17"/>
      <c r="I32" s="17"/>
      <c r="J32" s="17"/>
      <c r="K32" s="17"/>
      <c r="L32" s="17"/>
      <c r="M32" s="17"/>
      <c r="N32" s="17"/>
      <c r="O32" s="17"/>
      <c r="P32" s="18">
        <f>SUM(O32:O34)</f>
        <v>2</v>
      </c>
    </row>
    <row r="33" spans="1:16" ht="15" customHeight="1" x14ac:dyDescent="0.3">
      <c r="A33" s="17" t="s">
        <v>59</v>
      </c>
      <c r="B33" s="77" t="s">
        <v>12</v>
      </c>
      <c r="C33" s="78"/>
      <c r="D33" s="78"/>
      <c r="E33" s="78"/>
      <c r="F33" s="79"/>
      <c r="G33" s="17"/>
      <c r="H33" s="18">
        <v>2</v>
      </c>
      <c r="I33" s="18"/>
      <c r="J33" s="18"/>
      <c r="K33" s="18"/>
      <c r="L33" s="18"/>
      <c r="M33" s="18" t="str">
        <f>IF(COUNTA(J33:L33)=2,ROUND(PRODUCT(J33:L33),2),"")</f>
        <v/>
      </c>
      <c r="N33" s="18" t="str">
        <f>IF(OR(COUNTA(J33:L33)=3,AND(COUNTA(J33:L33)=1,M33&lt;&gt;"")),ROUND(PRODUCT(J33:M33),2),"")</f>
        <v/>
      </c>
      <c r="O33" s="18">
        <f>IF(N33&lt;&gt;"",ROUND(PRODUCT(H33,I33,N33),2),IF(M33&lt;&gt;"",ROUND(PRODUCT(H33,I33,M33),2),ROUND(PRODUCT(H33:L33),2)))</f>
        <v>2</v>
      </c>
      <c r="P33" s="18"/>
    </row>
    <row r="34" spans="1:16" ht="15" customHeight="1" x14ac:dyDescent="0.3">
      <c r="A34" s="3"/>
      <c r="B34" s="3"/>
      <c r="C34" s="3"/>
      <c r="D34" s="3"/>
      <c r="E34" s="3"/>
      <c r="F34" s="3"/>
      <c r="G34" s="3"/>
      <c r="H34" s="3"/>
      <c r="I34" s="3"/>
      <c r="J34" s="3"/>
      <c r="K34" s="3"/>
      <c r="L34" s="3"/>
      <c r="M34" s="3"/>
      <c r="N34" s="3"/>
      <c r="O34" s="3"/>
      <c r="P34" s="3"/>
    </row>
    <row r="35" spans="1:16" ht="75" customHeight="1" x14ac:dyDescent="0.3">
      <c r="A35" s="17" t="s">
        <v>37</v>
      </c>
      <c r="B35" s="17" t="s">
        <v>57</v>
      </c>
      <c r="C35" s="77" t="str">
        <f>VLOOKUP(B35,COMPOSICAO!B:K,2,FALSE)</f>
        <v xml:space="preserve">POSTE CONICO CONTINUO EM ACO GALVANIZADO, RETO, FLANGEADO, H = 3 M, DIAMETRO INFERIOR = *95* MM COM INSTALAÇÃO DE LUMINARIA TIPO PÉTALA DE  2 X 50 W FORNECIMENTO E INSTALAÇÃO </v>
      </c>
      <c r="D35" s="78"/>
      <c r="E35" s="78"/>
      <c r="F35" s="79"/>
      <c r="G35" s="17" t="str">
        <f>VLOOKUP(B35,COMPOSICAO!B:K,6,FALSE)</f>
        <v>UN</v>
      </c>
      <c r="H35" s="17"/>
      <c r="I35" s="17"/>
      <c r="J35" s="17"/>
      <c r="K35" s="17"/>
      <c r="L35" s="17"/>
      <c r="M35" s="17"/>
      <c r="N35" s="17"/>
      <c r="O35" s="17"/>
      <c r="P35" s="18">
        <f>SUM(O35:O37)</f>
        <v>8</v>
      </c>
    </row>
    <row r="36" spans="1:16" ht="15" customHeight="1" x14ac:dyDescent="0.3">
      <c r="A36" s="17" t="s">
        <v>60</v>
      </c>
      <c r="B36" s="77" t="s">
        <v>12</v>
      </c>
      <c r="C36" s="78"/>
      <c r="D36" s="78"/>
      <c r="E36" s="78"/>
      <c r="F36" s="79"/>
      <c r="G36" s="17"/>
      <c r="H36" s="18">
        <v>8</v>
      </c>
      <c r="I36" s="18"/>
      <c r="J36" s="18"/>
      <c r="K36" s="18"/>
      <c r="L36" s="18"/>
      <c r="M36" s="18" t="str">
        <f>IF(COUNTA(J36:L36)=2,ROUND(PRODUCT(J36:L36),2),"")</f>
        <v/>
      </c>
      <c r="N36" s="18" t="str">
        <f>IF(OR(COUNTA(J36:L36)=3,AND(COUNTA(J36:L36)=1,M36&lt;&gt;"")),ROUND(PRODUCT(J36:M36),2),"")</f>
        <v/>
      </c>
      <c r="O36" s="18">
        <f>IF(N36&lt;&gt;"",ROUND(PRODUCT(H36,I36,N36),2),IF(M36&lt;&gt;"",ROUND(PRODUCT(H36,I36,M36),2),ROUND(PRODUCT(H36:L36),2)))</f>
        <v>8</v>
      </c>
      <c r="P36" s="18"/>
    </row>
    <row r="37" spans="1:16" ht="15" customHeight="1" x14ac:dyDescent="0.3">
      <c r="A37" s="3"/>
      <c r="B37" s="3"/>
      <c r="C37" s="3"/>
      <c r="D37" s="3"/>
      <c r="E37" s="3"/>
      <c r="F37" s="3"/>
      <c r="G37" s="3"/>
      <c r="H37" s="3"/>
      <c r="I37" s="3"/>
      <c r="J37" s="3"/>
      <c r="K37" s="3"/>
      <c r="L37" s="3"/>
      <c r="M37" s="3"/>
      <c r="N37" s="3"/>
      <c r="O37" s="3"/>
      <c r="P37" s="3"/>
    </row>
    <row r="38" spans="1:16" ht="45" customHeight="1" x14ac:dyDescent="0.3">
      <c r="A38" s="17" t="s">
        <v>38</v>
      </c>
      <c r="B38" s="19">
        <v>101632</v>
      </c>
      <c r="C38" s="77" t="str">
        <f>VLOOKUP(B38,COMPOSICAO!B:K,2,FALSE)</f>
        <v>RELÉ FOTOELÉTRICO PARA COMANDO DE ILUMINAÇÃO EXTERNA 1000 W - FORNECIMENTO E INSTALAÇÃO. AF_08/2020</v>
      </c>
      <c r="D38" s="78"/>
      <c r="E38" s="78"/>
      <c r="F38" s="79"/>
      <c r="G38" s="17" t="str">
        <f>VLOOKUP(B38,COMPOSICAO!B:K,6,FALSE)</f>
        <v>UN</v>
      </c>
      <c r="H38" s="17"/>
      <c r="I38" s="17"/>
      <c r="J38" s="17"/>
      <c r="K38" s="17"/>
      <c r="L38" s="17"/>
      <c r="M38" s="17"/>
      <c r="N38" s="17"/>
      <c r="O38" s="17"/>
      <c r="P38" s="18">
        <f>SUM(O38:O40)</f>
        <v>16</v>
      </c>
    </row>
    <row r="39" spans="1:16" ht="15" customHeight="1" x14ac:dyDescent="0.3">
      <c r="A39" s="17" t="s">
        <v>61</v>
      </c>
      <c r="B39" s="77" t="s">
        <v>12</v>
      </c>
      <c r="C39" s="78"/>
      <c r="D39" s="78"/>
      <c r="E39" s="78"/>
      <c r="F39" s="79"/>
      <c r="G39" s="17"/>
      <c r="H39" s="18">
        <v>16</v>
      </c>
      <c r="I39" s="18"/>
      <c r="J39" s="18"/>
      <c r="K39" s="18"/>
      <c r="L39" s="18"/>
      <c r="M39" s="18" t="str">
        <f>IF(COUNTA(J39:L39)=2,ROUND(PRODUCT(J39:L39),2),"")</f>
        <v/>
      </c>
      <c r="N39" s="18" t="str">
        <f>IF(OR(COUNTA(J39:L39)=3,AND(COUNTA(J39:L39)=1,M39&lt;&gt;"")),ROUND(PRODUCT(J39:M39),2),"")</f>
        <v/>
      </c>
      <c r="O39" s="18">
        <f>IF(N39&lt;&gt;"",ROUND(PRODUCT(H39,I39,N39),2),IF(M39&lt;&gt;"",ROUND(PRODUCT(H39,I39,M39),2),ROUND(PRODUCT(H39:L39),2)))</f>
        <v>16</v>
      </c>
      <c r="P39" s="18"/>
    </row>
  </sheetData>
  <sheetProtection formatCells="0" formatColumns="0" formatRows="0" insertColumns="0" insertRows="0" insertHyperlinks="0" deleteColumns="0" deleteRows="0" sort="0" autoFilter="0" pivotTables="0"/>
  <mergeCells count="28">
    <mergeCell ref="B7:P7"/>
    <mergeCell ref="A1:P1"/>
    <mergeCell ref="A2:P2"/>
    <mergeCell ref="A3:P3"/>
    <mergeCell ref="K5:L5"/>
    <mergeCell ref="C6:F6"/>
    <mergeCell ref="B24:F24"/>
    <mergeCell ref="C8:F8"/>
    <mergeCell ref="B9:F9"/>
    <mergeCell ref="C11:F11"/>
    <mergeCell ref="B12:F12"/>
    <mergeCell ref="C14:F14"/>
    <mergeCell ref="B15:F15"/>
    <mergeCell ref="C17:F17"/>
    <mergeCell ref="B18:F18"/>
    <mergeCell ref="C20:F20"/>
    <mergeCell ref="B21:F21"/>
    <mergeCell ref="C23:F23"/>
    <mergeCell ref="C35:F35"/>
    <mergeCell ref="B36:F36"/>
    <mergeCell ref="C38:F38"/>
    <mergeCell ref="B39:F39"/>
    <mergeCell ref="C26:F26"/>
    <mergeCell ref="B27:F27"/>
    <mergeCell ref="C29:F29"/>
    <mergeCell ref="B30:F30"/>
    <mergeCell ref="C32:F32"/>
    <mergeCell ref="B33:F33"/>
  </mergeCells>
  <pageMargins left="0.7" right="0.7" top="1.3149999999999999" bottom="0.75" header="0.3" footer="0.3"/>
  <pageSetup paperSize="9" scale="4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tabSelected="1" view="pageBreakPreview" topLeftCell="A4" zoomScale="60" zoomScaleNormal="100" workbookViewId="0">
      <selection activeCell="Q24" sqref="Q24"/>
    </sheetView>
  </sheetViews>
  <sheetFormatPr defaultColWidth="9.109375" defaultRowHeight="15" customHeight="1" x14ac:dyDescent="0.3"/>
  <cols>
    <col min="1" max="1" width="14.6640625" style="1" customWidth="1"/>
    <col min="2" max="2" width="12.6640625" style="1" customWidth="1"/>
    <col min="3" max="3" width="4.6640625" style="1" customWidth="1"/>
    <col min="4" max="4" width="8.6640625" style="1" customWidth="1"/>
    <col min="5" max="5" width="25.6640625" style="1" customWidth="1"/>
    <col min="6" max="6" width="12.6640625" style="1" customWidth="1"/>
    <col min="7" max="7" width="8.6640625" style="1" customWidth="1"/>
    <col min="8" max="9" width="16.6640625" style="1" customWidth="1"/>
    <col min="10" max="11" width="8.6640625" style="1" customWidth="1"/>
    <col min="12" max="12" width="16.6640625" style="1" hidden="1" customWidth="1"/>
    <col min="13" max="13" width="27.5546875" style="1" hidden="1" customWidth="1"/>
    <col min="14" max="14" width="7.5546875" style="1" customWidth="1"/>
    <col min="15" max="16" width="22.88671875" style="1" customWidth="1"/>
    <col min="17" max="16384" width="9.109375" style="1"/>
  </cols>
  <sheetData>
    <row r="1" spans="1:14" ht="15" customHeight="1" x14ac:dyDescent="0.3">
      <c r="A1" s="54" t="str">
        <f>CIDADE</f>
        <v>MUNICÍPIO DE FLORESTA DO PIAUI - PI</v>
      </c>
      <c r="B1" s="54"/>
      <c r="C1" s="54"/>
      <c r="D1" s="54"/>
      <c r="E1" s="54"/>
      <c r="F1" s="54"/>
      <c r="G1" s="54"/>
      <c r="H1" s="54"/>
      <c r="I1" s="54"/>
      <c r="J1" s="54"/>
      <c r="K1" s="54"/>
    </row>
    <row r="2" spans="1:14" ht="15" customHeight="1" x14ac:dyDescent="0.3">
      <c r="A2" s="54" t="str">
        <f>OBRA</f>
        <v>INSTALAÇÕES ELÉTRICAS DE ILUMINAÇÃO DE PASSARELA DE  U E WILSON NUNES MARTINS FILHO</v>
      </c>
      <c r="B2" s="54"/>
      <c r="C2" s="54"/>
      <c r="D2" s="54"/>
      <c r="E2" s="54"/>
      <c r="F2" s="54"/>
      <c r="G2" s="54"/>
      <c r="H2" s="54"/>
      <c r="I2" s="54"/>
      <c r="J2" s="54"/>
      <c r="K2" s="54"/>
    </row>
    <row r="3" spans="1:14" ht="15" customHeight="1" x14ac:dyDescent="0.3">
      <c r="A3" s="54" t="s">
        <v>62</v>
      </c>
      <c r="B3" s="54"/>
      <c r="C3" s="54"/>
      <c r="D3" s="54"/>
      <c r="E3" s="54"/>
      <c r="F3" s="54"/>
      <c r="G3" s="54"/>
      <c r="H3" s="54"/>
      <c r="I3" s="54"/>
      <c r="J3" s="54"/>
      <c r="K3" s="54"/>
    </row>
    <row r="4" spans="1:14" ht="15" customHeight="1" x14ac:dyDescent="0.3">
      <c r="A4" s="3"/>
      <c r="B4" s="3"/>
      <c r="C4" s="3"/>
      <c r="D4" s="3"/>
      <c r="E4" s="3"/>
      <c r="F4" s="3"/>
      <c r="G4" s="3"/>
      <c r="H4" s="3"/>
      <c r="I4" s="3"/>
      <c r="J4" s="3"/>
      <c r="K4" s="3"/>
      <c r="L4" s="3"/>
      <c r="M4" s="3"/>
      <c r="N4" s="3"/>
    </row>
    <row r="5" spans="1:14" ht="15" customHeight="1" x14ac:dyDescent="0.3">
      <c r="A5" s="2" t="s">
        <v>3</v>
      </c>
      <c r="B5" s="4" t="str">
        <f>FONTE&amp;ONERA</f>
        <v>SINAPI PI-02/2021, SEINFRA 27, ORSE-01/2021, SEM DESONERAÇÃO</v>
      </c>
      <c r="C5" s="2"/>
      <c r="D5" s="2"/>
      <c r="E5" s="2"/>
      <c r="G5" s="3"/>
      <c r="H5" s="2" t="s">
        <v>6</v>
      </c>
      <c r="I5" s="5">
        <f>LEI</f>
        <v>112.14999999999999</v>
      </c>
      <c r="J5" s="2" t="s">
        <v>7</v>
      </c>
      <c r="K5" s="5">
        <f>BDI</f>
        <v>21.25</v>
      </c>
      <c r="L5" s="3"/>
      <c r="M5" s="3"/>
      <c r="N5" s="3"/>
    </row>
    <row r="6" spans="1:14" ht="15" customHeight="1" x14ac:dyDescent="0.3">
      <c r="A6" s="10" t="s">
        <v>63</v>
      </c>
      <c r="B6" s="10" t="s">
        <v>24</v>
      </c>
      <c r="C6" s="75" t="s">
        <v>8</v>
      </c>
      <c r="D6" s="76"/>
      <c r="E6" s="76"/>
      <c r="F6" s="76"/>
      <c r="G6" s="6" t="s">
        <v>25</v>
      </c>
      <c r="H6" s="6" t="s">
        <v>64</v>
      </c>
      <c r="I6" s="6" t="s">
        <v>65</v>
      </c>
      <c r="J6" s="62" t="s">
        <v>10</v>
      </c>
      <c r="K6" s="63"/>
    </row>
    <row r="7" spans="1:14" ht="15" customHeight="1" x14ac:dyDescent="0.3">
      <c r="A7" s="6" t="s">
        <v>66</v>
      </c>
      <c r="B7" s="6" t="s">
        <v>48</v>
      </c>
      <c r="C7" s="84" t="s">
        <v>67</v>
      </c>
      <c r="D7" s="84"/>
      <c r="E7" s="84"/>
      <c r="F7" s="85"/>
      <c r="G7" s="6" t="s">
        <v>68</v>
      </c>
      <c r="H7" s="20"/>
      <c r="I7" s="20">
        <f>J11</f>
        <v>1.1400000000000001</v>
      </c>
      <c r="J7" s="70"/>
      <c r="K7" s="71"/>
      <c r="L7" s="20">
        <v>0</v>
      </c>
      <c r="M7" s="6" t="s">
        <v>69</v>
      </c>
    </row>
    <row r="8" spans="1:14" ht="30" customHeight="1" x14ac:dyDescent="0.3">
      <c r="A8" s="17" t="s">
        <v>70</v>
      </c>
      <c r="B8" s="19">
        <v>39175</v>
      </c>
      <c r="C8" s="64" t="str">
        <f>VLOOKUP(B8,IF(A8="COMPOSICAO",S!$A:$D,I!$A:$D),2,FALSE)</f>
        <v>BUCHA EM ALUMINIO, COM ROSCA, DE 3/4", PARA ELETRODUTO</v>
      </c>
      <c r="D8" s="64"/>
      <c r="E8" s="64"/>
      <c r="F8" s="64"/>
      <c r="G8" s="17" t="str">
        <f>VLOOKUP(B8,IF(A8="COMPOSICAO",S!$A:$D,I!$A:$D),3,FALSE)</f>
        <v>UN</v>
      </c>
      <c r="H8" s="21">
        <f>1</f>
        <v>1</v>
      </c>
      <c r="I8" s="18">
        <f>IF(A8="COMPOSICAO",VLOOKUP("TOTAL - "&amp;B8,COMPOSICAO_AUX_1!$A:$J,10,FALSE),VLOOKUP(B8,I!$A:$D,4,FALSE))</f>
        <v>0.79</v>
      </c>
      <c r="J8" s="67">
        <f>TRUNC(H8*I8,2)</f>
        <v>0.79</v>
      </c>
      <c r="K8" s="68"/>
      <c r="L8" s="3"/>
      <c r="M8" s="3"/>
      <c r="N8" s="3"/>
    </row>
    <row r="9" spans="1:14" ht="30" customHeight="1" x14ac:dyDescent="0.3">
      <c r="A9" s="17" t="s">
        <v>71</v>
      </c>
      <c r="B9" s="19">
        <v>88247</v>
      </c>
      <c r="C9" s="64" t="str">
        <f>VLOOKUP(B9,IF(A9="COMPOSICAO",S!$A:$D,I!$A:$D),2,FALSE)</f>
        <v>AUXILIAR DE ELETRICISTA COM ENCARGOS COMPLEMENTARES</v>
      </c>
      <c r="D9" s="64"/>
      <c r="E9" s="64"/>
      <c r="F9" s="64"/>
      <c r="G9" s="17" t="str">
        <f>VLOOKUP(B9,IF(A9="COMPOSICAO",S!$A:$D,I!$A:$D),3,FALSE)</f>
        <v>H</v>
      </c>
      <c r="H9" s="21">
        <f>0.01</f>
        <v>0.01</v>
      </c>
      <c r="I9" s="18">
        <f>IF(A9="COMPOSICAO",VLOOKUP("TOTAL - "&amp;B9,COMPOSICAO_AUX_1!$A:$J,10,FALSE),VLOOKUP(B9,I!$A:$D,4,FALSE))</f>
        <v>15.469999999999999</v>
      </c>
      <c r="J9" s="67">
        <f>TRUNC(H9*I9,2)</f>
        <v>0.15</v>
      </c>
      <c r="K9" s="68"/>
      <c r="L9" s="3"/>
      <c r="M9" s="3"/>
      <c r="N9" s="3"/>
    </row>
    <row r="10" spans="1:14" ht="15" customHeight="1" x14ac:dyDescent="0.3">
      <c r="A10" s="17" t="s">
        <v>71</v>
      </c>
      <c r="B10" s="19">
        <v>88264</v>
      </c>
      <c r="C10" s="64" t="str">
        <f>VLOOKUP(B10,IF(A10="COMPOSICAO",S!$A:$D,I!$A:$D),2,FALSE)</f>
        <v>ELETRICISTA COM ENCARGOS COMPLEMENTARES</v>
      </c>
      <c r="D10" s="64"/>
      <c r="E10" s="64"/>
      <c r="F10" s="64"/>
      <c r="G10" s="17" t="str">
        <f>VLOOKUP(B10,IF(A10="COMPOSICAO",S!$A:$D,I!$A:$D),3,FALSE)</f>
        <v>H</v>
      </c>
      <c r="H10" s="21">
        <f>0.01</f>
        <v>0.01</v>
      </c>
      <c r="I10" s="18">
        <f>IF(A10="COMPOSICAO",VLOOKUP("TOTAL - "&amp;B10,COMPOSICAO_AUX_1!$A:$J,10,FALSE),VLOOKUP(B10,I!$A:$D,4,FALSE))</f>
        <v>20.02</v>
      </c>
      <c r="J10" s="67">
        <f>TRUNC(H10*I10,2)</f>
        <v>0.2</v>
      </c>
      <c r="K10" s="68"/>
      <c r="L10" s="3"/>
      <c r="M10" s="3"/>
      <c r="N10" s="3"/>
    </row>
    <row r="11" spans="1:14" ht="15" customHeight="1" x14ac:dyDescent="0.3">
      <c r="A11" s="22" t="s">
        <v>72</v>
      </c>
      <c r="B11" s="23"/>
      <c r="C11" s="23"/>
      <c r="D11" s="23"/>
      <c r="E11" s="23"/>
      <c r="F11" s="23"/>
      <c r="G11" s="24"/>
      <c r="H11" s="25"/>
      <c r="I11" s="26"/>
      <c r="J11" s="67">
        <f>SUM(J7:K10)</f>
        <v>1.1400000000000001</v>
      </c>
      <c r="K11" s="68"/>
    </row>
    <row r="12" spans="1:14" ht="15" customHeight="1" x14ac:dyDescent="0.3">
      <c r="A12" s="22" t="str">
        <f>"TAXA DE BDI ("&amp;BDI&amp;" %)"</f>
        <v>TAXA DE BDI (21,25 %)</v>
      </c>
      <c r="B12" s="23"/>
      <c r="C12" s="23"/>
      <c r="D12" s="23"/>
      <c r="E12" s="23"/>
      <c r="F12" s="23"/>
      <c r="G12" s="24"/>
      <c r="H12" s="25"/>
      <c r="I12" s="26"/>
      <c r="J12" s="67">
        <f>ROUND(J11*(BDI/100),2)</f>
        <v>0.24</v>
      </c>
      <c r="K12" s="68"/>
    </row>
    <row r="13" spans="1:14" ht="15" customHeight="1" x14ac:dyDescent="0.3">
      <c r="A13" s="22" t="s">
        <v>73</v>
      </c>
      <c r="B13" s="23"/>
      <c r="C13" s="23"/>
      <c r="D13" s="23"/>
      <c r="E13" s="23"/>
      <c r="F13" s="23"/>
      <c r="G13" s="24"/>
      <c r="H13" s="25"/>
      <c r="I13" s="26"/>
      <c r="J13" s="67">
        <f>SUM(J11:K12)</f>
        <v>1.3800000000000001</v>
      </c>
      <c r="K13" s="68"/>
    </row>
    <row r="14" spans="1:14" ht="15" customHeight="1" x14ac:dyDescent="0.3">
      <c r="A14" s="3"/>
      <c r="B14" s="3"/>
      <c r="C14" s="3"/>
      <c r="D14" s="3"/>
      <c r="E14" s="3"/>
      <c r="F14" s="3"/>
      <c r="G14" s="3"/>
      <c r="H14" s="3"/>
      <c r="I14" s="3"/>
      <c r="J14" s="3"/>
      <c r="K14" s="3"/>
    </row>
    <row r="15" spans="1:14" ht="15" customHeight="1" x14ac:dyDescent="0.3">
      <c r="A15" s="10" t="s">
        <v>63</v>
      </c>
      <c r="B15" s="10" t="s">
        <v>24</v>
      </c>
      <c r="C15" s="75" t="s">
        <v>8</v>
      </c>
      <c r="D15" s="76"/>
      <c r="E15" s="76"/>
      <c r="F15" s="76"/>
      <c r="G15" s="6" t="s">
        <v>25</v>
      </c>
      <c r="H15" s="6" t="s">
        <v>64</v>
      </c>
      <c r="I15" s="6" t="s">
        <v>65</v>
      </c>
      <c r="J15" s="62" t="s">
        <v>10</v>
      </c>
      <c r="K15" s="63"/>
    </row>
    <row r="16" spans="1:14" ht="45" customHeight="1" x14ac:dyDescent="0.3">
      <c r="A16" s="6" t="s">
        <v>66</v>
      </c>
      <c r="B16" s="27">
        <v>91926</v>
      </c>
      <c r="C16" s="84" t="str">
        <f>VLOOKUP(B16,S!$A:$D,2,FALSE)</f>
        <v>CABO DE COBRE FLEXÍVEL ISOLADO, 2,5 MM², ANTI-CHAMA 450/750 V, PARA CIRCUITOS TERMINAIS - FORNECIMENTO E INSTALAÇÃO. AF_12/2015</v>
      </c>
      <c r="D16" s="84"/>
      <c r="E16" s="84"/>
      <c r="F16" s="85"/>
      <c r="G16" s="6" t="str">
        <f>VLOOKUP(B16,S!$A:$D,3,FALSE)</f>
        <v>M</v>
      </c>
      <c r="H16" s="20"/>
      <c r="I16" s="20">
        <f>J21</f>
        <v>3.5999999999999996</v>
      </c>
      <c r="J16" s="70"/>
      <c r="K16" s="71"/>
      <c r="L16" s="20">
        <f>VLOOKUP(B16,S!$A:$D,4,FALSE)</f>
        <v>3.6</v>
      </c>
      <c r="M16" s="6" t="str">
        <f>IF(ROUND((L16-I16),2)=0,"OK, confere com a tabela.",IF(ROUND((L16-I16),2)&lt;0,"ACIMA ("&amp;TEXT(ROUND(I16*100/L16,4),"0,0000")&amp;" %) da tabela.","ABAIXO ("&amp;TEXT(ROUND(I16*100/L16,4),"0,0000")&amp;" %) da tabela."))</f>
        <v>OK, confere com a tabela.</v>
      </c>
    </row>
    <row r="17" spans="1:14" ht="45" customHeight="1" x14ac:dyDescent="0.3">
      <c r="A17" s="17" t="s">
        <v>70</v>
      </c>
      <c r="B17" s="19">
        <v>1014</v>
      </c>
      <c r="C17" s="64" t="str">
        <f>VLOOKUP(B17,IF(A17="COMPOSICAO",S!$A:$D,I!$A:$D),2,FALSE)</f>
        <v>CABO DE COBRE, FLEXIVEL, CLASSE 4 OU 5, ISOLACAO EM PVC/A, ANTICHAMA BWF-B, 1 CONDUTOR, 450/750 V, SECAO NOMINAL 2,5 MM2</v>
      </c>
      <c r="D17" s="64"/>
      <c r="E17" s="64"/>
      <c r="F17" s="64"/>
      <c r="G17" s="17" t="str">
        <f>VLOOKUP(B17,IF(A17="COMPOSICAO",S!$A:$D,I!$A:$D),3,FALSE)</f>
        <v>M</v>
      </c>
      <c r="H17" s="21">
        <f>1.19</f>
        <v>1.19</v>
      </c>
      <c r="I17" s="18">
        <f>IF(A17="COMPOSICAO",VLOOKUP("TOTAL - "&amp;B17,COMPOSICAO_AUX_1!$A:$J,10,FALSE),VLOOKUP(B17,I!$A:$D,4,FALSE))</f>
        <v>2.11</v>
      </c>
      <c r="J17" s="67">
        <f>TRUNC(H17*I17,2)</f>
        <v>2.5099999999999998</v>
      </c>
      <c r="K17" s="68"/>
      <c r="L17" s="3"/>
      <c r="M17" s="3"/>
      <c r="N17" s="3"/>
    </row>
    <row r="18" spans="1:14" ht="30" customHeight="1" x14ac:dyDescent="0.3">
      <c r="A18" s="17" t="s">
        <v>70</v>
      </c>
      <c r="B18" s="19">
        <v>21127</v>
      </c>
      <c r="C18" s="64" t="str">
        <f>VLOOKUP(B18,IF(A18="COMPOSICAO",S!$A:$D,I!$A:$D),2,FALSE)</f>
        <v>FITA ISOLANTE ADESIVA ANTICHAMA, USO ATE 750 V, EM ROLO DE 19 MM X 5 M</v>
      </c>
      <c r="D18" s="64"/>
      <c r="E18" s="64"/>
      <c r="F18" s="64"/>
      <c r="G18" s="17" t="str">
        <f>VLOOKUP(B18,IF(A18="COMPOSICAO",S!$A:$D,I!$A:$D),3,FALSE)</f>
        <v>UN</v>
      </c>
      <c r="H18" s="21">
        <f>0.009</f>
        <v>8.9999999999999993E-3</v>
      </c>
      <c r="I18" s="18">
        <f>IF(A18="COMPOSICAO",VLOOKUP("TOTAL - "&amp;B18,COMPOSICAO_AUX_1!$A:$J,10,FALSE),VLOOKUP(B18,I!$A:$D,4,FALSE))</f>
        <v>3.88</v>
      </c>
      <c r="J18" s="67">
        <f>TRUNC(H18*I18,2)</f>
        <v>0.03</v>
      </c>
      <c r="K18" s="68"/>
      <c r="L18" s="3"/>
      <c r="M18" s="3"/>
      <c r="N18" s="3"/>
    </row>
    <row r="19" spans="1:14" ht="30" customHeight="1" x14ac:dyDescent="0.3">
      <c r="A19" s="17" t="s">
        <v>71</v>
      </c>
      <c r="B19" s="19">
        <v>88247</v>
      </c>
      <c r="C19" s="64" t="str">
        <f>VLOOKUP(B19,IF(A19="COMPOSICAO",S!$A:$D,I!$A:$D),2,FALSE)</f>
        <v>AUXILIAR DE ELETRICISTA COM ENCARGOS COMPLEMENTARES</v>
      </c>
      <c r="D19" s="64"/>
      <c r="E19" s="64"/>
      <c r="F19" s="64"/>
      <c r="G19" s="17" t="str">
        <f>VLOOKUP(B19,IF(A19="COMPOSICAO",S!$A:$D,I!$A:$D),3,FALSE)</f>
        <v>H</v>
      </c>
      <c r="H19" s="21">
        <f>0.03</f>
        <v>0.03</v>
      </c>
      <c r="I19" s="18">
        <f>IF(A19="COMPOSICAO",VLOOKUP("TOTAL - "&amp;B19,COMPOSICAO_AUX_1!$A:$J,10,FALSE),VLOOKUP(B19,I!$A:$D,4,FALSE))</f>
        <v>15.469999999999999</v>
      </c>
      <c r="J19" s="67">
        <f>TRUNC(H19*I19,2)</f>
        <v>0.46</v>
      </c>
      <c r="K19" s="68"/>
      <c r="L19" s="3"/>
      <c r="M19" s="3"/>
      <c r="N19" s="3"/>
    </row>
    <row r="20" spans="1:14" ht="15" customHeight="1" x14ac:dyDescent="0.3">
      <c r="A20" s="17" t="s">
        <v>71</v>
      </c>
      <c r="B20" s="19">
        <v>88264</v>
      </c>
      <c r="C20" s="64" t="str">
        <f>VLOOKUP(B20,IF(A20="COMPOSICAO",S!$A:$D,I!$A:$D),2,FALSE)</f>
        <v>ELETRICISTA COM ENCARGOS COMPLEMENTARES</v>
      </c>
      <c r="D20" s="64"/>
      <c r="E20" s="64"/>
      <c r="F20" s="64"/>
      <c r="G20" s="17" t="str">
        <f>VLOOKUP(B20,IF(A20="COMPOSICAO",S!$A:$D,I!$A:$D),3,FALSE)</f>
        <v>H</v>
      </c>
      <c r="H20" s="21">
        <f>0.03</f>
        <v>0.03</v>
      </c>
      <c r="I20" s="18">
        <f>IF(A20="COMPOSICAO",VLOOKUP("TOTAL - "&amp;B20,COMPOSICAO_AUX_1!$A:$J,10,FALSE),VLOOKUP(B20,I!$A:$D,4,FALSE))</f>
        <v>20.02</v>
      </c>
      <c r="J20" s="67">
        <f>TRUNC(H20*I20,2)</f>
        <v>0.6</v>
      </c>
      <c r="K20" s="68"/>
      <c r="L20" s="3"/>
      <c r="M20" s="3"/>
      <c r="N20" s="3"/>
    </row>
    <row r="21" spans="1:14" ht="15" customHeight="1" x14ac:dyDescent="0.3">
      <c r="A21" s="22" t="s">
        <v>72</v>
      </c>
      <c r="B21" s="23"/>
      <c r="C21" s="23"/>
      <c r="D21" s="23"/>
      <c r="E21" s="23"/>
      <c r="F21" s="23"/>
      <c r="G21" s="24"/>
      <c r="H21" s="25"/>
      <c r="I21" s="26"/>
      <c r="J21" s="67">
        <f>SUM(J16:K20)</f>
        <v>3.5999999999999996</v>
      </c>
      <c r="K21" s="68"/>
    </row>
    <row r="22" spans="1:14" ht="15" customHeight="1" x14ac:dyDescent="0.3">
      <c r="A22" s="22" t="str">
        <f>"TAXA DE BDI ("&amp;BDI&amp;" %)"</f>
        <v>TAXA DE BDI (21,25 %)</v>
      </c>
      <c r="B22" s="23"/>
      <c r="C22" s="23"/>
      <c r="D22" s="23"/>
      <c r="E22" s="23"/>
      <c r="F22" s="23"/>
      <c r="G22" s="24"/>
      <c r="H22" s="25"/>
      <c r="I22" s="26"/>
      <c r="J22" s="67">
        <f>ROUND(J21*(BDI/100),2)</f>
        <v>0.77</v>
      </c>
      <c r="K22" s="68"/>
    </row>
    <row r="23" spans="1:14" ht="15" customHeight="1" x14ac:dyDescent="0.3">
      <c r="A23" s="22" t="s">
        <v>74</v>
      </c>
      <c r="B23" s="23"/>
      <c r="C23" s="23"/>
      <c r="D23" s="23"/>
      <c r="E23" s="23"/>
      <c r="F23" s="23"/>
      <c r="G23" s="24"/>
      <c r="H23" s="25"/>
      <c r="I23" s="26"/>
      <c r="J23" s="67">
        <f>SUM(J21:K22)</f>
        <v>4.3699999999999992</v>
      </c>
      <c r="K23" s="68"/>
    </row>
    <row r="24" spans="1:14" ht="15" customHeight="1" x14ac:dyDescent="0.3">
      <c r="A24" s="3"/>
      <c r="B24" s="3"/>
      <c r="C24" s="3"/>
      <c r="D24" s="3"/>
      <c r="E24" s="3"/>
      <c r="F24" s="3"/>
      <c r="G24" s="3"/>
      <c r="H24" s="3"/>
      <c r="I24" s="3"/>
      <c r="J24" s="3"/>
      <c r="K24" s="3"/>
    </row>
    <row r="25" spans="1:14" ht="15" customHeight="1" x14ac:dyDescent="0.3">
      <c r="A25" s="10" t="s">
        <v>63</v>
      </c>
      <c r="B25" s="10" t="s">
        <v>24</v>
      </c>
      <c r="C25" s="75" t="s">
        <v>8</v>
      </c>
      <c r="D25" s="76"/>
      <c r="E25" s="76"/>
      <c r="F25" s="76"/>
      <c r="G25" s="6" t="s">
        <v>25</v>
      </c>
      <c r="H25" s="6" t="s">
        <v>64</v>
      </c>
      <c r="I25" s="6" t="s">
        <v>65</v>
      </c>
      <c r="J25" s="62" t="s">
        <v>10</v>
      </c>
      <c r="K25" s="63"/>
    </row>
    <row r="26" spans="1:14" ht="60" customHeight="1" x14ac:dyDescent="0.3">
      <c r="A26" s="6" t="s">
        <v>66</v>
      </c>
      <c r="B26" s="27">
        <v>91902</v>
      </c>
      <c r="C26" s="84" t="str">
        <f>VLOOKUP(B26,S!$A:$D,2,FALSE)</f>
        <v>CURVA 90 GRAUS PARA ELETRODUTO, PVC, ROSCÁVEL, DN 25 MM (3/4"), PARA CIRCUITOS TERMINAIS, INSTALADA EM LAJE - FORNECIMENTO E INSTALAÇÃO. AF_12/2015</v>
      </c>
      <c r="D26" s="84"/>
      <c r="E26" s="84"/>
      <c r="F26" s="85"/>
      <c r="G26" s="6" t="str">
        <f>VLOOKUP(B26,S!$A:$D,3,FALSE)</f>
        <v>UN</v>
      </c>
      <c r="H26" s="20"/>
      <c r="I26" s="20">
        <f>J30</f>
        <v>9.8000000000000007</v>
      </c>
      <c r="J26" s="70"/>
      <c r="K26" s="71"/>
      <c r="L26" s="20">
        <f>VLOOKUP(B26,S!$A:$D,4,FALSE)</f>
        <v>9.8000000000000007</v>
      </c>
      <c r="M26" s="6" t="str">
        <f>IF(ROUND((L26-I26),2)=0,"OK, confere com a tabela.",IF(ROUND((L26-I26),2)&lt;0,"ACIMA ("&amp;TEXT(ROUND(I26*100/L26,4),"0,0000")&amp;" %) da tabela.","ABAIXO ("&amp;TEXT(ROUND(I26*100/L26,4),"0,0000")&amp;" %) da tabela."))</f>
        <v>OK, confere com a tabela.</v>
      </c>
    </row>
    <row r="27" spans="1:14" ht="30" customHeight="1" x14ac:dyDescent="0.3">
      <c r="A27" s="17" t="s">
        <v>70</v>
      </c>
      <c r="B27" s="19">
        <v>1879</v>
      </c>
      <c r="C27" s="64" t="str">
        <f>VLOOKUP(B27,IF(A27="COMPOSICAO",S!$A:$D,I!$A:$D),2,FALSE)</f>
        <v>CURVA 90 GRAUS, LONGA, DE PVC RIGIDO ROSCAVEL, DE 3/4", PARA ELETRODUTO</v>
      </c>
      <c r="D27" s="64"/>
      <c r="E27" s="64"/>
      <c r="F27" s="64"/>
      <c r="G27" s="17" t="str">
        <f>VLOOKUP(B27,IF(A27="COMPOSICAO",S!$A:$D,I!$A:$D),3,FALSE)</f>
        <v>UN</v>
      </c>
      <c r="H27" s="21">
        <f>1</f>
        <v>1</v>
      </c>
      <c r="I27" s="18">
        <f>IF(A27="COMPOSICAO",VLOOKUP("TOTAL - "&amp;B27,COMPOSICAO_AUX_1!$A:$J,10,FALSE),VLOOKUP(B27,I!$A:$D,4,FALSE))</f>
        <v>2.64</v>
      </c>
      <c r="J27" s="67">
        <f>TRUNC(H27*I27,2)</f>
        <v>2.64</v>
      </c>
      <c r="K27" s="68"/>
      <c r="L27" s="3"/>
      <c r="M27" s="3"/>
      <c r="N27" s="3"/>
    </row>
    <row r="28" spans="1:14" ht="30" customHeight="1" x14ac:dyDescent="0.3">
      <c r="A28" s="17" t="s">
        <v>71</v>
      </c>
      <c r="B28" s="19">
        <v>88247</v>
      </c>
      <c r="C28" s="64" t="str">
        <f>VLOOKUP(B28,IF(A28="COMPOSICAO",S!$A:$D,I!$A:$D),2,FALSE)</f>
        <v>AUXILIAR DE ELETRICISTA COM ENCARGOS COMPLEMENTARES</v>
      </c>
      <c r="D28" s="64"/>
      <c r="E28" s="64"/>
      <c r="F28" s="64"/>
      <c r="G28" s="17" t="str">
        <f>VLOOKUP(B28,IF(A28="COMPOSICAO",S!$A:$D,I!$A:$D),3,FALSE)</f>
        <v>H</v>
      </c>
      <c r="H28" s="21">
        <f>0.202</f>
        <v>0.20200000000000001</v>
      </c>
      <c r="I28" s="18">
        <f>IF(A28="COMPOSICAO",VLOOKUP("TOTAL - "&amp;B28,COMPOSICAO_AUX_1!$A:$J,10,FALSE),VLOOKUP(B28,I!$A:$D,4,FALSE))</f>
        <v>15.469999999999999</v>
      </c>
      <c r="J28" s="67">
        <f>TRUNC(H28*I28,2)</f>
        <v>3.12</v>
      </c>
      <c r="K28" s="68"/>
      <c r="L28" s="3"/>
      <c r="M28" s="3"/>
      <c r="N28" s="3"/>
    </row>
    <row r="29" spans="1:14" ht="15" customHeight="1" x14ac:dyDescent="0.3">
      <c r="A29" s="17" t="s">
        <v>71</v>
      </c>
      <c r="B29" s="19">
        <v>88264</v>
      </c>
      <c r="C29" s="64" t="str">
        <f>VLOOKUP(B29,IF(A29="COMPOSICAO",S!$A:$D,I!$A:$D),2,FALSE)</f>
        <v>ELETRICISTA COM ENCARGOS COMPLEMENTARES</v>
      </c>
      <c r="D29" s="64"/>
      <c r="E29" s="64"/>
      <c r="F29" s="64"/>
      <c r="G29" s="17" t="str">
        <f>VLOOKUP(B29,IF(A29="COMPOSICAO",S!$A:$D,I!$A:$D),3,FALSE)</f>
        <v>H</v>
      </c>
      <c r="H29" s="21">
        <f>0.202</f>
        <v>0.20200000000000001</v>
      </c>
      <c r="I29" s="18">
        <f>IF(A29="COMPOSICAO",VLOOKUP("TOTAL - "&amp;B29,COMPOSICAO_AUX_1!$A:$J,10,FALSE),VLOOKUP(B29,I!$A:$D,4,FALSE))</f>
        <v>20.02</v>
      </c>
      <c r="J29" s="67">
        <f>TRUNC(H29*I29,2)</f>
        <v>4.04</v>
      </c>
      <c r="K29" s="68"/>
      <c r="L29" s="3"/>
      <c r="M29" s="3"/>
      <c r="N29" s="3"/>
    </row>
    <row r="30" spans="1:14" ht="15" customHeight="1" x14ac:dyDescent="0.3">
      <c r="A30" s="22" t="s">
        <v>72</v>
      </c>
      <c r="B30" s="23"/>
      <c r="C30" s="23"/>
      <c r="D30" s="23"/>
      <c r="E30" s="23"/>
      <c r="F30" s="23"/>
      <c r="G30" s="24"/>
      <c r="H30" s="25"/>
      <c r="I30" s="26"/>
      <c r="J30" s="67">
        <f>SUM(J26:K29)</f>
        <v>9.8000000000000007</v>
      </c>
      <c r="K30" s="68"/>
    </row>
    <row r="31" spans="1:14" ht="15" customHeight="1" x14ac:dyDescent="0.3">
      <c r="A31" s="22" t="str">
        <f>"TAXA DE BDI ("&amp;BDI&amp;" %)"</f>
        <v>TAXA DE BDI (21,25 %)</v>
      </c>
      <c r="B31" s="23"/>
      <c r="C31" s="23"/>
      <c r="D31" s="23"/>
      <c r="E31" s="23"/>
      <c r="F31" s="23"/>
      <c r="G31" s="24"/>
      <c r="H31" s="25"/>
      <c r="I31" s="26"/>
      <c r="J31" s="67">
        <f>ROUND(J30*(BDI/100),2)</f>
        <v>2.08</v>
      </c>
      <c r="K31" s="68"/>
    </row>
    <row r="32" spans="1:14" ht="15" customHeight="1" x14ac:dyDescent="0.3">
      <c r="A32" s="22" t="s">
        <v>75</v>
      </c>
      <c r="B32" s="23"/>
      <c r="C32" s="23"/>
      <c r="D32" s="23"/>
      <c r="E32" s="23"/>
      <c r="F32" s="23"/>
      <c r="G32" s="24"/>
      <c r="H32" s="25"/>
      <c r="I32" s="26"/>
      <c r="J32" s="67">
        <f>SUM(J30:K31)</f>
        <v>11.88</v>
      </c>
      <c r="K32" s="68"/>
    </row>
    <row r="33" spans="1:14" ht="15" customHeight="1" x14ac:dyDescent="0.3">
      <c r="A33" s="3"/>
      <c r="B33" s="3"/>
      <c r="C33" s="3"/>
      <c r="D33" s="3"/>
      <c r="E33" s="3"/>
      <c r="F33" s="3"/>
      <c r="G33" s="3"/>
      <c r="H33" s="3"/>
      <c r="I33" s="3"/>
      <c r="J33" s="3"/>
      <c r="K33" s="3"/>
    </row>
    <row r="34" spans="1:14" ht="15" customHeight="1" x14ac:dyDescent="0.3">
      <c r="A34" s="10" t="s">
        <v>63</v>
      </c>
      <c r="B34" s="10" t="s">
        <v>24</v>
      </c>
      <c r="C34" s="75" t="s">
        <v>8</v>
      </c>
      <c r="D34" s="76"/>
      <c r="E34" s="76"/>
      <c r="F34" s="76"/>
      <c r="G34" s="6" t="s">
        <v>25</v>
      </c>
      <c r="H34" s="6" t="s">
        <v>64</v>
      </c>
      <c r="I34" s="6" t="s">
        <v>65</v>
      </c>
      <c r="J34" s="62" t="s">
        <v>10</v>
      </c>
      <c r="K34" s="63"/>
    </row>
    <row r="35" spans="1:14" ht="45" customHeight="1" x14ac:dyDescent="0.3">
      <c r="A35" s="6" t="s">
        <v>66</v>
      </c>
      <c r="B35" s="27">
        <v>97881</v>
      </c>
      <c r="C35" s="84" t="str">
        <f>VLOOKUP(B35,S!$A:$D,2,FALSE)</f>
        <v>CAIXA ENTERRADA ELÉTRICA RETANGULAR, EM CONCRETO PRÉ-MOLDADO, FUNDO COM BRITA, DIMENSÕES INTERNAS: 0,3X0,3X0,3 M. AF_12/2020</v>
      </c>
      <c r="D35" s="84"/>
      <c r="E35" s="84"/>
      <c r="F35" s="85"/>
      <c r="G35" s="6" t="str">
        <f>VLOOKUP(B35,S!$A:$D,3,FALSE)</f>
        <v>UN</v>
      </c>
      <c r="H35" s="20"/>
      <c r="I35" s="20">
        <f>J41</f>
        <v>87.14</v>
      </c>
      <c r="J35" s="70"/>
      <c r="K35" s="71"/>
      <c r="L35" s="20">
        <f>VLOOKUP(B35,S!$A:$D,4,FALSE)</f>
        <v>87.14</v>
      </c>
      <c r="M35" s="6" t="str">
        <f>IF(ROUND((L35-I35),2)=0,"OK, confere com a tabela.",IF(ROUND((L35-I35),2)&lt;0,"ACIMA ("&amp;TEXT(ROUND(I35*100/L35,4),"0,0000")&amp;" %) da tabela.","ABAIXO ("&amp;TEXT(ROUND(I35*100/L35,4),"0,0000")&amp;" %) da tabela."))</f>
        <v>OK, confere com a tabela.</v>
      </c>
    </row>
    <row r="36" spans="1:14" ht="45" customHeight="1" x14ac:dyDescent="0.3">
      <c r="A36" s="17" t="s">
        <v>70</v>
      </c>
      <c r="B36" s="19">
        <v>43429</v>
      </c>
      <c r="C36" s="64" t="str">
        <f>VLOOKUP(B36,IF(A36="COMPOSICAO",S!$A:$D,I!$A:$D),2,FALSE)</f>
        <v>CAIXA DE CONCRETO ARMADO PRE-MOLDADO, SEM FUNDO, QUADRADA, DIMENSOES DE 0,30 X 0,30 X 0,30 M</v>
      </c>
      <c r="D36" s="64"/>
      <c r="E36" s="64"/>
      <c r="F36" s="64"/>
      <c r="G36" s="17" t="str">
        <f>VLOOKUP(B36,IF(A36="COMPOSICAO",S!$A:$D,I!$A:$D),3,FALSE)</f>
        <v>UN</v>
      </c>
      <c r="H36" s="21">
        <f>1</f>
        <v>1</v>
      </c>
      <c r="I36" s="18">
        <f>IF(A36="COMPOSICAO",VLOOKUP("TOTAL - "&amp;B36,COMPOSICAO_AUX_1!$A:$J,10,FALSE),VLOOKUP(B36,I!$A:$D,4,FALSE))</f>
        <v>53.59</v>
      </c>
      <c r="J36" s="67">
        <f>TRUNC(H36*I36,2)</f>
        <v>53.59</v>
      </c>
      <c r="K36" s="68"/>
      <c r="L36" s="3"/>
      <c r="M36" s="3"/>
      <c r="N36" s="3"/>
    </row>
    <row r="37" spans="1:14" ht="15" customHeight="1" x14ac:dyDescent="0.3">
      <c r="A37" s="17" t="s">
        <v>71</v>
      </c>
      <c r="B37" s="19">
        <v>88309</v>
      </c>
      <c r="C37" s="64" t="str">
        <f>VLOOKUP(B37,IF(A37="COMPOSICAO",S!$A:$D,I!$A:$D),2,FALSE)</f>
        <v>PEDREIRO COM ENCARGOS COMPLEMENTARES</v>
      </c>
      <c r="D37" s="64"/>
      <c r="E37" s="64"/>
      <c r="F37" s="64"/>
      <c r="G37" s="17" t="str">
        <f>VLOOKUP(B37,IF(A37="COMPOSICAO",S!$A:$D,I!$A:$D),3,FALSE)</f>
        <v>H</v>
      </c>
      <c r="H37" s="21">
        <f>0.0595</f>
        <v>5.9499999999999997E-2</v>
      </c>
      <c r="I37" s="18">
        <f>IF(A37="COMPOSICAO",VLOOKUP("TOTAL - "&amp;B37,COMPOSICAO_AUX_1!$A:$J,10,FALSE),VLOOKUP(B37,I!$A:$D,4,FALSE))</f>
        <v>19.849999999999994</v>
      </c>
      <c r="J37" s="67">
        <f>TRUNC(H37*I37,2)</f>
        <v>1.18</v>
      </c>
      <c r="K37" s="68"/>
      <c r="L37" s="3"/>
      <c r="M37" s="3"/>
      <c r="N37" s="3"/>
    </row>
    <row r="38" spans="1:14" ht="15" customHeight="1" x14ac:dyDescent="0.3">
      <c r="A38" s="17" t="s">
        <v>71</v>
      </c>
      <c r="B38" s="19">
        <v>88316</v>
      </c>
      <c r="C38" s="64" t="str">
        <f>VLOOKUP(B38,IF(A38="COMPOSICAO",S!$A:$D,I!$A:$D),2,FALSE)</f>
        <v>SERVENTE COM ENCARGOS COMPLEMENTARES</v>
      </c>
      <c r="D38" s="64"/>
      <c r="E38" s="64"/>
      <c r="F38" s="64"/>
      <c r="G38" s="17" t="str">
        <f>VLOOKUP(B38,IF(A38="COMPOSICAO",S!$A:$D,I!$A:$D),3,FALSE)</f>
        <v>H</v>
      </c>
      <c r="H38" s="21">
        <f>0.0595</f>
        <v>5.9499999999999997E-2</v>
      </c>
      <c r="I38" s="18">
        <f>IF(A38="COMPOSICAO",VLOOKUP("TOTAL - "&amp;B38,COMPOSICAO_AUX_1!$A:$J,10,FALSE),VLOOKUP(B38,I!$A:$D,4,FALSE))</f>
        <v>15.35</v>
      </c>
      <c r="J38" s="67">
        <f>TRUNC(H38*I38,2)</f>
        <v>0.91</v>
      </c>
      <c r="K38" s="68"/>
      <c r="L38" s="3"/>
      <c r="M38" s="3"/>
      <c r="N38" s="3"/>
    </row>
    <row r="39" spans="1:14" ht="45" customHeight="1" x14ac:dyDescent="0.3">
      <c r="A39" s="17" t="s">
        <v>71</v>
      </c>
      <c r="B39" s="19">
        <v>97733</v>
      </c>
      <c r="C39" s="64" t="str">
        <f>VLOOKUP(B39,IF(A39="COMPOSICAO",S!$A:$D,I!$A:$D),2,FALSE)</f>
        <v>PEÇA RETANGULAR PRÉ-MOLDADA, VOLUME DE CONCRETO DE ATÉ 10 LITROS, TAXA DE AÇO APROXIMADA DE 30KG/M³. AF_01/2018</v>
      </c>
      <c r="D39" s="64"/>
      <c r="E39" s="64"/>
      <c r="F39" s="64"/>
      <c r="G39" s="17" t="str">
        <f>VLOOKUP(B39,IF(A39="COMPOSICAO",S!$A:$D,I!$A:$D),3,FALSE)</f>
        <v>M3</v>
      </c>
      <c r="H39" s="21">
        <f>0.0091</f>
        <v>9.1000000000000004E-3</v>
      </c>
      <c r="I39" s="18">
        <f>IF(A39="COMPOSICAO",VLOOKUP("TOTAL - "&amp;B39,COMPOSICAO_AUX_1!$A:$J,10,FALSE),VLOOKUP(B39,I!$A:$D,4,FALSE))</f>
        <v>2636.74</v>
      </c>
      <c r="J39" s="67">
        <f>TRUNC(H39*I39,2)</f>
        <v>23.99</v>
      </c>
      <c r="K39" s="68"/>
      <c r="L39" s="3"/>
      <c r="M39" s="3"/>
      <c r="N39" s="3"/>
    </row>
    <row r="40" spans="1:14" ht="45" customHeight="1" x14ac:dyDescent="0.3">
      <c r="A40" s="17" t="s">
        <v>71</v>
      </c>
      <c r="B40" s="19">
        <v>101619</v>
      </c>
      <c r="C40" s="64" t="str">
        <f>VLOOKUP(B40,IF(A40="COMPOSICAO",S!$A:$D,I!$A:$D),2,FALSE)</f>
        <v>PREPARO DE FUNDO DE VALA COM LARGURA MENOR QUE 1,5 M, COM CAMADA DE BRITA, LANÇAMENTO MANUAL. AF_08/2020</v>
      </c>
      <c r="D40" s="64"/>
      <c r="E40" s="64"/>
      <c r="F40" s="64"/>
      <c r="G40" s="17" t="str">
        <f>VLOOKUP(B40,IF(A40="COMPOSICAO",S!$A:$D,I!$A:$D),3,FALSE)</f>
        <v>M3</v>
      </c>
      <c r="H40" s="21">
        <f>0.036</f>
        <v>3.5999999999999997E-2</v>
      </c>
      <c r="I40" s="18">
        <f>IF(A40="COMPOSICAO",VLOOKUP("TOTAL - "&amp;B40,COMPOSICAO_AUX_1!$A:$J,10,FALSE),VLOOKUP(B40,I!$A:$D,4,FALSE))</f>
        <v>207.75</v>
      </c>
      <c r="J40" s="67">
        <f>TRUNC(H40*I40,2)</f>
        <v>7.47</v>
      </c>
      <c r="K40" s="68"/>
      <c r="L40" s="3"/>
      <c r="M40" s="3"/>
      <c r="N40" s="3"/>
    </row>
    <row r="41" spans="1:14" ht="15" customHeight="1" x14ac:dyDescent="0.3">
      <c r="A41" s="22" t="s">
        <v>72</v>
      </c>
      <c r="B41" s="23"/>
      <c r="C41" s="23"/>
      <c r="D41" s="23"/>
      <c r="E41" s="23"/>
      <c r="F41" s="23"/>
      <c r="G41" s="24"/>
      <c r="H41" s="25"/>
      <c r="I41" s="26"/>
      <c r="J41" s="67">
        <f>SUM(J35:K40)</f>
        <v>87.14</v>
      </c>
      <c r="K41" s="68"/>
    </row>
    <row r="42" spans="1:14" ht="15" customHeight="1" x14ac:dyDescent="0.3">
      <c r="A42" s="22" t="str">
        <f>"TAXA DE BDI ("&amp;BDI&amp;" %)"</f>
        <v>TAXA DE BDI (21,25 %)</v>
      </c>
      <c r="B42" s="23"/>
      <c r="C42" s="23"/>
      <c r="D42" s="23"/>
      <c r="E42" s="23"/>
      <c r="F42" s="23"/>
      <c r="G42" s="24"/>
      <c r="H42" s="25"/>
      <c r="I42" s="26"/>
      <c r="J42" s="67">
        <f>ROUND(J41*(BDI/100),2)</f>
        <v>18.52</v>
      </c>
      <c r="K42" s="68"/>
    </row>
    <row r="43" spans="1:14" ht="15" customHeight="1" x14ac:dyDescent="0.3">
      <c r="A43" s="22" t="s">
        <v>76</v>
      </c>
      <c r="B43" s="23"/>
      <c r="C43" s="23"/>
      <c r="D43" s="23"/>
      <c r="E43" s="23"/>
      <c r="F43" s="23"/>
      <c r="G43" s="24"/>
      <c r="H43" s="25"/>
      <c r="I43" s="26"/>
      <c r="J43" s="67">
        <f>SUM(J41:K42)</f>
        <v>105.66</v>
      </c>
      <c r="K43" s="68"/>
    </row>
    <row r="44" spans="1:14" ht="15" customHeight="1" x14ac:dyDescent="0.3">
      <c r="A44" s="3"/>
      <c r="B44" s="3"/>
      <c r="C44" s="3"/>
      <c r="D44" s="3"/>
      <c r="E44" s="3"/>
      <c r="F44" s="3"/>
      <c r="G44" s="3"/>
      <c r="H44" s="3"/>
      <c r="I44" s="3"/>
      <c r="J44" s="3"/>
      <c r="K44" s="3"/>
    </row>
    <row r="45" spans="1:14" ht="15" customHeight="1" x14ac:dyDescent="0.3">
      <c r="A45" s="10" t="s">
        <v>63</v>
      </c>
      <c r="B45" s="10" t="s">
        <v>24</v>
      </c>
      <c r="C45" s="75" t="s">
        <v>8</v>
      </c>
      <c r="D45" s="76"/>
      <c r="E45" s="76"/>
      <c r="F45" s="76"/>
      <c r="G45" s="6" t="s">
        <v>25</v>
      </c>
      <c r="H45" s="6" t="s">
        <v>64</v>
      </c>
      <c r="I45" s="6" t="s">
        <v>65</v>
      </c>
      <c r="J45" s="62" t="s">
        <v>10</v>
      </c>
      <c r="K45" s="63"/>
    </row>
    <row r="46" spans="1:14" ht="45" customHeight="1" x14ac:dyDescent="0.3">
      <c r="A46" s="6" t="s">
        <v>66</v>
      </c>
      <c r="B46" s="6" t="s">
        <v>53</v>
      </c>
      <c r="C46" s="84" t="s">
        <v>77</v>
      </c>
      <c r="D46" s="84"/>
      <c r="E46" s="84"/>
      <c r="F46" s="85"/>
      <c r="G46" s="6" t="s">
        <v>78</v>
      </c>
      <c r="H46" s="20"/>
      <c r="I46" s="20">
        <f>J50</f>
        <v>11.37</v>
      </c>
      <c r="J46" s="70"/>
      <c r="K46" s="71"/>
      <c r="L46" s="20">
        <v>0</v>
      </c>
      <c r="M46" s="6" t="s">
        <v>69</v>
      </c>
    </row>
    <row r="47" spans="1:14" ht="30" customHeight="1" x14ac:dyDescent="0.3">
      <c r="A47" s="17" t="s">
        <v>70</v>
      </c>
      <c r="B47" s="19">
        <v>39244</v>
      </c>
      <c r="C47" s="64" t="str">
        <f>VLOOKUP(B47,IF(A47="COMPOSICAO",S!$A:$D,I!$A:$D),2,FALSE)</f>
        <v>ELETRODUTO PVC FLEXIVEL CORRUGADO, REFORCADO, COR LARANJA, DE 25 MM, PARA LAJES E PISOS</v>
      </c>
      <c r="D47" s="64"/>
      <c r="E47" s="64"/>
      <c r="F47" s="64"/>
      <c r="G47" s="17" t="str">
        <f>VLOOKUP(B47,IF(A47="COMPOSICAO",S!$A:$D,I!$A:$D),3,FALSE)</f>
        <v>M</v>
      </c>
      <c r="H47" s="21">
        <f>1.05</f>
        <v>1.05</v>
      </c>
      <c r="I47" s="18">
        <f>IF(A47="COMPOSICAO",VLOOKUP("TOTAL - "&amp;B47,COMPOSICAO_AUX_1!$A:$J,10,FALSE),VLOOKUP(B47,I!$A:$D,4,FALSE))</f>
        <v>2.58</v>
      </c>
      <c r="J47" s="67">
        <f>TRUNC(H47*I47,2)</f>
        <v>2.7</v>
      </c>
      <c r="K47" s="68"/>
      <c r="L47" s="3"/>
      <c r="M47" s="3"/>
      <c r="N47" s="3"/>
    </row>
    <row r="48" spans="1:14" ht="30" customHeight="1" x14ac:dyDescent="0.3">
      <c r="A48" s="17" t="s">
        <v>71</v>
      </c>
      <c r="B48" s="19">
        <v>93358</v>
      </c>
      <c r="C48" s="64" t="str">
        <f>VLOOKUP(B48,IF(A48="COMPOSICAO",S!$A:$D,I!$A:$D),2,FALSE)</f>
        <v>ESCAVAÇÃO MANUAL DE VALA COM PROFUNDIDADE MENOR OU IGUAL A 1,30 M. AF_02/2021</v>
      </c>
      <c r="D48" s="64"/>
      <c r="E48" s="64"/>
      <c r="F48" s="64"/>
      <c r="G48" s="17" t="str">
        <f>VLOOKUP(B48,IF(A48="COMPOSICAO",S!$A:$D,I!$A:$D),3,FALSE)</f>
        <v>M3</v>
      </c>
      <c r="H48" s="21">
        <f>0.1</f>
        <v>0.1</v>
      </c>
      <c r="I48" s="18">
        <f>IF(A48="COMPOSICAO",VLOOKUP("TOTAL - "&amp;B48,COMPOSICAO_AUX_1!$A:$J,10,FALSE),VLOOKUP(B48,I!$A:$D,4,FALSE))</f>
        <v>60.72</v>
      </c>
      <c r="J48" s="67">
        <f>TRUNC(H48*I48,2)</f>
        <v>6.07</v>
      </c>
      <c r="K48" s="68"/>
      <c r="L48" s="3"/>
      <c r="M48" s="3"/>
      <c r="N48" s="3"/>
    </row>
    <row r="49" spans="1:14" ht="15" customHeight="1" x14ac:dyDescent="0.3">
      <c r="A49" s="17" t="s">
        <v>71</v>
      </c>
      <c r="B49" s="19">
        <v>88316</v>
      </c>
      <c r="C49" s="64" t="str">
        <f>VLOOKUP(B49,IF(A49="COMPOSICAO",S!$A:$D,I!$A:$D),2,FALSE)</f>
        <v>SERVENTE COM ENCARGOS COMPLEMENTARES</v>
      </c>
      <c r="D49" s="64"/>
      <c r="E49" s="64"/>
      <c r="F49" s="64"/>
      <c r="G49" s="17" t="str">
        <f>VLOOKUP(B49,IF(A49="COMPOSICAO",S!$A:$D,I!$A:$D),3,FALSE)</f>
        <v>H</v>
      </c>
      <c r="H49" s="21">
        <f>0.17</f>
        <v>0.17</v>
      </c>
      <c r="I49" s="18">
        <f>IF(A49="COMPOSICAO",VLOOKUP("TOTAL - "&amp;B49,COMPOSICAO_AUX_1!$A:$J,10,FALSE),VLOOKUP(B49,I!$A:$D,4,FALSE))</f>
        <v>15.35</v>
      </c>
      <c r="J49" s="67">
        <f>TRUNC(H49*I49,2)</f>
        <v>2.6</v>
      </c>
      <c r="K49" s="68"/>
      <c r="L49" s="3"/>
      <c r="M49" s="3"/>
      <c r="N49" s="3"/>
    </row>
    <row r="50" spans="1:14" ht="15" customHeight="1" x14ac:dyDescent="0.3">
      <c r="A50" s="22" t="s">
        <v>72</v>
      </c>
      <c r="B50" s="23"/>
      <c r="C50" s="23"/>
      <c r="D50" s="23"/>
      <c r="E50" s="23"/>
      <c r="F50" s="23"/>
      <c r="G50" s="24"/>
      <c r="H50" s="25"/>
      <c r="I50" s="26"/>
      <c r="J50" s="67">
        <f>SUM(J46:K49)</f>
        <v>11.37</v>
      </c>
      <c r="K50" s="68"/>
    </row>
    <row r="51" spans="1:14" ht="15" customHeight="1" x14ac:dyDescent="0.3">
      <c r="A51" s="22" t="str">
        <f>"TAXA DE BDI ("&amp;BDI&amp;" %)"</f>
        <v>TAXA DE BDI (21,25 %)</v>
      </c>
      <c r="B51" s="23"/>
      <c r="C51" s="23"/>
      <c r="D51" s="23"/>
      <c r="E51" s="23"/>
      <c r="F51" s="23"/>
      <c r="G51" s="24"/>
      <c r="H51" s="25"/>
      <c r="I51" s="26"/>
      <c r="J51" s="67">
        <f>ROUND(J50*(BDI/100),2)</f>
        <v>2.42</v>
      </c>
      <c r="K51" s="68"/>
    </row>
    <row r="52" spans="1:14" ht="15" customHeight="1" x14ac:dyDescent="0.3">
      <c r="A52" s="22" t="s">
        <v>79</v>
      </c>
      <c r="B52" s="23"/>
      <c r="C52" s="23"/>
      <c r="D52" s="23"/>
      <c r="E52" s="23"/>
      <c r="F52" s="23"/>
      <c r="G52" s="24"/>
      <c r="H52" s="25"/>
      <c r="I52" s="26"/>
      <c r="J52" s="67">
        <f>SUM(J50:K51)</f>
        <v>13.79</v>
      </c>
      <c r="K52" s="68"/>
    </row>
    <row r="53" spans="1:14" ht="15" customHeight="1" x14ac:dyDescent="0.3">
      <c r="A53" s="3"/>
      <c r="B53" s="3"/>
      <c r="C53" s="3"/>
      <c r="D53" s="3"/>
      <c r="E53" s="3"/>
      <c r="F53" s="3"/>
      <c r="G53" s="3"/>
      <c r="H53" s="3"/>
      <c r="I53" s="3"/>
      <c r="J53" s="3"/>
      <c r="K53" s="3"/>
    </row>
    <row r="54" spans="1:14" ht="15" customHeight="1" x14ac:dyDescent="0.3">
      <c r="A54" s="10" t="s">
        <v>63</v>
      </c>
      <c r="B54" s="10" t="s">
        <v>24</v>
      </c>
      <c r="C54" s="75" t="s">
        <v>8</v>
      </c>
      <c r="D54" s="76"/>
      <c r="E54" s="76"/>
      <c r="F54" s="76"/>
      <c r="G54" s="6" t="s">
        <v>25</v>
      </c>
      <c r="H54" s="6" t="s">
        <v>64</v>
      </c>
      <c r="I54" s="6" t="s">
        <v>65</v>
      </c>
      <c r="J54" s="62" t="s">
        <v>10</v>
      </c>
      <c r="K54" s="63"/>
    </row>
    <row r="55" spans="1:14" ht="45" customHeight="1" x14ac:dyDescent="0.3">
      <c r="A55" s="6" t="s">
        <v>66</v>
      </c>
      <c r="B55" s="27">
        <v>95727</v>
      </c>
      <c r="C55" s="84" t="str">
        <f>VLOOKUP(B55,S!$A:$D,2,FALSE)</f>
        <v>ELETRODUTO RÍGIDO SOLDÁVEL, PVC, DN 25 MM (3/4), APARENTE, INSTALADO EM TETO - FORNECIMENTO E INSTALAÇÃO. AF_11/2016_P</v>
      </c>
      <c r="D55" s="84"/>
      <c r="E55" s="84"/>
      <c r="F55" s="85"/>
      <c r="G55" s="6" t="str">
        <f>VLOOKUP(B55,S!$A:$D,3,FALSE)</f>
        <v>M</v>
      </c>
      <c r="H55" s="20"/>
      <c r="I55" s="20">
        <f>J60</f>
        <v>5.7899999999999991</v>
      </c>
      <c r="J55" s="70"/>
      <c r="K55" s="71"/>
      <c r="L55" s="20">
        <f>VLOOKUP(B55,S!$A:$D,4,FALSE)</f>
        <v>5.79</v>
      </c>
      <c r="M55" s="6" t="str">
        <f>IF(ROUND((L55-I55),2)=0,"OK, confere com a tabela.",IF(ROUND((L55-I55),2)&lt;0,"ACIMA ("&amp;TEXT(ROUND(I55*100/L55,4),"0,0000")&amp;" %) da tabela.","ABAIXO ("&amp;TEXT(ROUND(I55*100/L55,4),"0,0000")&amp;" %) da tabela."))</f>
        <v>OK, confere com a tabela.</v>
      </c>
    </row>
    <row r="56" spans="1:14" ht="30" customHeight="1" x14ac:dyDescent="0.3">
      <c r="A56" s="17" t="s">
        <v>70</v>
      </c>
      <c r="B56" s="19">
        <v>2678</v>
      </c>
      <c r="C56" s="64" t="str">
        <f>VLOOKUP(B56,IF(A56="COMPOSICAO",S!$A:$D,I!$A:$D),2,FALSE)</f>
        <v>ELETRODUTO DE PVC RIGIDO SOLDAVEL, CLASSE B, DE 25 MM</v>
      </c>
      <c r="D56" s="64"/>
      <c r="E56" s="64"/>
      <c r="F56" s="64"/>
      <c r="G56" s="17" t="str">
        <f>VLOOKUP(B56,IF(A56="COMPOSICAO",S!$A:$D,I!$A:$D),3,FALSE)</f>
        <v>M</v>
      </c>
      <c r="H56" s="21">
        <f>1.0481</f>
        <v>1.0481</v>
      </c>
      <c r="I56" s="18">
        <f>IF(A56="COMPOSICAO",VLOOKUP("TOTAL - "&amp;B56,COMPOSICAO_AUX_1!$A:$J,10,FALSE),VLOOKUP(B56,I!$A:$D,4,FALSE))</f>
        <v>1.88</v>
      </c>
      <c r="J56" s="67">
        <f>TRUNC(H56*I56,2)</f>
        <v>1.97</v>
      </c>
      <c r="K56" s="68"/>
      <c r="L56" s="3"/>
      <c r="M56" s="3"/>
      <c r="N56" s="3"/>
    </row>
    <row r="57" spans="1:14" ht="30" customHeight="1" x14ac:dyDescent="0.3">
      <c r="A57" s="17" t="s">
        <v>71</v>
      </c>
      <c r="B57" s="19">
        <v>88247</v>
      </c>
      <c r="C57" s="64" t="str">
        <f>VLOOKUP(B57,IF(A57="COMPOSICAO",S!$A:$D,I!$A:$D),2,FALSE)</f>
        <v>AUXILIAR DE ELETRICISTA COM ENCARGOS COMPLEMENTARES</v>
      </c>
      <c r="D57" s="64"/>
      <c r="E57" s="64"/>
      <c r="F57" s="64"/>
      <c r="G57" s="17" t="str">
        <f>VLOOKUP(B57,IF(A57="COMPOSICAO",S!$A:$D,I!$A:$D),3,FALSE)</f>
        <v>H</v>
      </c>
      <c r="H57" s="21">
        <f>0.0391</f>
        <v>3.9100000000000003E-2</v>
      </c>
      <c r="I57" s="18">
        <f>IF(A57="COMPOSICAO",VLOOKUP("TOTAL - "&amp;B57,COMPOSICAO_AUX_1!$A:$J,10,FALSE),VLOOKUP(B57,I!$A:$D,4,FALSE))</f>
        <v>15.469999999999999</v>
      </c>
      <c r="J57" s="67">
        <f>TRUNC(H57*I57,2)</f>
        <v>0.6</v>
      </c>
      <c r="K57" s="68"/>
      <c r="L57" s="3"/>
      <c r="M57" s="3"/>
      <c r="N57" s="3"/>
    </row>
    <row r="58" spans="1:14" ht="15" customHeight="1" x14ac:dyDescent="0.3">
      <c r="A58" s="17" t="s">
        <v>71</v>
      </c>
      <c r="B58" s="19">
        <v>88264</v>
      </c>
      <c r="C58" s="64" t="str">
        <f>VLOOKUP(B58,IF(A58="COMPOSICAO",S!$A:$D,I!$A:$D),2,FALSE)</f>
        <v>ELETRICISTA COM ENCARGOS COMPLEMENTARES</v>
      </c>
      <c r="D58" s="64"/>
      <c r="E58" s="64"/>
      <c r="F58" s="64"/>
      <c r="G58" s="17" t="str">
        <f>VLOOKUP(B58,IF(A58="COMPOSICAO",S!$A:$D,I!$A:$D),3,FALSE)</f>
        <v>H</v>
      </c>
      <c r="H58" s="21">
        <f>0.0391</f>
        <v>3.9100000000000003E-2</v>
      </c>
      <c r="I58" s="18">
        <f>IF(A58="COMPOSICAO",VLOOKUP("TOTAL - "&amp;B58,COMPOSICAO_AUX_1!$A:$J,10,FALSE),VLOOKUP(B58,I!$A:$D,4,FALSE))</f>
        <v>20.02</v>
      </c>
      <c r="J58" s="67">
        <f>TRUNC(H58*I58,2)</f>
        <v>0.78</v>
      </c>
      <c r="K58" s="68"/>
      <c r="L58" s="3"/>
      <c r="M58" s="3"/>
      <c r="N58" s="3"/>
    </row>
    <row r="59" spans="1:14" ht="75" customHeight="1" x14ac:dyDescent="0.3">
      <c r="A59" s="17" t="s">
        <v>71</v>
      </c>
      <c r="B59" s="19">
        <v>91170</v>
      </c>
      <c r="C59" s="64" t="str">
        <f>VLOOKUP(B59,IF(A59="COMPOSICAO",S!$A:$D,I!$A:$D),2,FALSE)</f>
        <v>FIXAÇÃO DE TUBOS HORIZONTAIS DE PVC, CPVC OU COBRE DIÂMETROS MENORES OU IGUAIS A 40 MM OU ELETROCALHAS ATÉ 150MM DE LARGURA, COM ABRAÇADEIRA METÁLICA RÍGIDA TIPO D 1/2, FIXADA EM PERFILADO EM LAJE. AF_05/2015</v>
      </c>
      <c r="D59" s="64"/>
      <c r="E59" s="64"/>
      <c r="F59" s="64"/>
      <c r="G59" s="17" t="str">
        <f>VLOOKUP(B59,IF(A59="COMPOSICAO",S!$A:$D,I!$A:$D),3,FALSE)</f>
        <v>M</v>
      </c>
      <c r="H59" s="21">
        <f>1</f>
        <v>1</v>
      </c>
      <c r="I59" s="18">
        <f>IF(A59="COMPOSICAO",VLOOKUP("TOTAL - "&amp;B59,COMPOSICAO_AUX_1!$A:$J,10,FALSE),VLOOKUP(B59,I!$A:$D,4,FALSE))</f>
        <v>2.44</v>
      </c>
      <c r="J59" s="67">
        <f>TRUNC(H59*I59,2)</f>
        <v>2.44</v>
      </c>
      <c r="K59" s="68"/>
      <c r="L59" s="3"/>
      <c r="M59" s="3"/>
      <c r="N59" s="3"/>
    </row>
    <row r="60" spans="1:14" ht="15" customHeight="1" x14ac:dyDescent="0.3">
      <c r="A60" s="22" t="s">
        <v>72</v>
      </c>
      <c r="B60" s="23"/>
      <c r="C60" s="23"/>
      <c r="D60" s="23"/>
      <c r="E60" s="23"/>
      <c r="F60" s="23"/>
      <c r="G60" s="24"/>
      <c r="H60" s="25"/>
      <c r="I60" s="26"/>
      <c r="J60" s="67">
        <f>SUM(J55:K59)</f>
        <v>5.7899999999999991</v>
      </c>
      <c r="K60" s="68"/>
    </row>
    <row r="61" spans="1:14" ht="15" customHeight="1" x14ac:dyDescent="0.3">
      <c r="A61" s="22" t="str">
        <f>"TAXA DE BDI ("&amp;BDI&amp;" %)"</f>
        <v>TAXA DE BDI (21,25 %)</v>
      </c>
      <c r="B61" s="23"/>
      <c r="C61" s="23"/>
      <c r="D61" s="23"/>
      <c r="E61" s="23"/>
      <c r="F61" s="23"/>
      <c r="G61" s="24"/>
      <c r="H61" s="25"/>
      <c r="I61" s="26"/>
      <c r="J61" s="67">
        <f>ROUND(J60*(BDI/100),2)</f>
        <v>1.23</v>
      </c>
      <c r="K61" s="68"/>
    </row>
    <row r="62" spans="1:14" ht="15" customHeight="1" x14ac:dyDescent="0.3">
      <c r="A62" s="22" t="s">
        <v>80</v>
      </c>
      <c r="B62" s="23"/>
      <c r="C62" s="23"/>
      <c r="D62" s="23"/>
      <c r="E62" s="23"/>
      <c r="F62" s="23"/>
      <c r="G62" s="24"/>
      <c r="H62" s="25"/>
      <c r="I62" s="26"/>
      <c r="J62" s="67">
        <f>SUM(J60:K61)</f>
        <v>7.02</v>
      </c>
      <c r="K62" s="68"/>
    </row>
    <row r="63" spans="1:14" ht="15" customHeight="1" x14ac:dyDescent="0.3">
      <c r="A63" s="3"/>
      <c r="B63" s="3"/>
      <c r="C63" s="3"/>
      <c r="D63" s="3"/>
      <c r="E63" s="3"/>
      <c r="F63" s="3"/>
      <c r="G63" s="3"/>
      <c r="H63" s="3"/>
      <c r="I63" s="3"/>
      <c r="J63" s="3"/>
      <c r="K63" s="3"/>
    </row>
    <row r="64" spans="1:14" ht="15" customHeight="1" x14ac:dyDescent="0.3">
      <c r="A64" s="10" t="s">
        <v>63</v>
      </c>
      <c r="B64" s="10" t="s">
        <v>24</v>
      </c>
      <c r="C64" s="75" t="s">
        <v>8</v>
      </c>
      <c r="D64" s="76"/>
      <c r="E64" s="76"/>
      <c r="F64" s="76"/>
      <c r="G64" s="6" t="s">
        <v>25</v>
      </c>
      <c r="H64" s="6" t="s">
        <v>64</v>
      </c>
      <c r="I64" s="6" t="s">
        <v>65</v>
      </c>
      <c r="J64" s="62" t="s">
        <v>10</v>
      </c>
      <c r="K64" s="63"/>
    </row>
    <row r="65" spans="1:14" ht="45" customHeight="1" x14ac:dyDescent="0.3">
      <c r="A65" s="6" t="s">
        <v>66</v>
      </c>
      <c r="B65" s="27">
        <v>93654</v>
      </c>
      <c r="C65" s="84" t="str">
        <f>VLOOKUP(B65,S!$A:$D,2,FALSE)</f>
        <v>DISJUNTOR MONOPOLAR TIPO DIN, CORRENTE NOMINAL DE 16A - FORNECIMENTO E INSTALAÇÃO. AF_10/2020</v>
      </c>
      <c r="D65" s="84"/>
      <c r="E65" s="84"/>
      <c r="F65" s="85"/>
      <c r="G65" s="6" t="str">
        <f>VLOOKUP(B65,S!$A:$D,3,FALSE)</f>
        <v>UN</v>
      </c>
      <c r="H65" s="20"/>
      <c r="I65" s="20">
        <f>J70</f>
        <v>11.17</v>
      </c>
      <c r="J65" s="70"/>
      <c r="K65" s="71"/>
      <c r="L65" s="20">
        <f>VLOOKUP(B65,S!$A:$D,4,FALSE)</f>
        <v>11.17</v>
      </c>
      <c r="M65" s="6" t="str">
        <f>IF(ROUND((L65-I65),2)=0,"OK, confere com a tabela.",IF(ROUND((L65-I65),2)&lt;0,"ACIMA ("&amp;TEXT(ROUND(I65*100/L65,4),"0,0000")&amp;" %) da tabela.","ABAIXO ("&amp;TEXT(ROUND(I65*100/L65,4),"0,0000")&amp;" %) da tabela."))</f>
        <v>OK, confere com a tabela.</v>
      </c>
    </row>
    <row r="66" spans="1:14" ht="45" customHeight="1" x14ac:dyDescent="0.3">
      <c r="A66" s="17" t="s">
        <v>70</v>
      </c>
      <c r="B66" s="19">
        <v>1570</v>
      </c>
      <c r="C66" s="64" t="str">
        <f>VLOOKUP(B66,IF(A66="COMPOSICAO",S!$A:$D,I!$A:$D),2,FALSE)</f>
        <v>TERMINAL A COMPRESSAO EM COBRE ESTANHADO PARA CABO 2,5 MM2, 1 FURO E 1 COMPRESSAO, PARA PARAFUSO DE FIXACAO M5</v>
      </c>
      <c r="D66" s="64"/>
      <c r="E66" s="64"/>
      <c r="F66" s="64"/>
      <c r="G66" s="17" t="str">
        <f>VLOOKUP(B66,IF(A66="COMPOSICAO",S!$A:$D,I!$A:$D),3,FALSE)</f>
        <v>UN</v>
      </c>
      <c r="H66" s="21">
        <f>1</f>
        <v>1</v>
      </c>
      <c r="I66" s="18">
        <f>IF(A66="COMPOSICAO",VLOOKUP("TOTAL - "&amp;B66,COMPOSICAO_AUX_1!$A:$J,10,FALSE),VLOOKUP(B66,I!$A:$D,4,FALSE))</f>
        <v>1</v>
      </c>
      <c r="J66" s="67">
        <f>TRUNC(H66*I66,2)</f>
        <v>1</v>
      </c>
      <c r="K66" s="68"/>
      <c r="L66" s="3"/>
      <c r="M66" s="3"/>
      <c r="N66" s="3"/>
    </row>
    <row r="67" spans="1:14" ht="30" customHeight="1" x14ac:dyDescent="0.3">
      <c r="A67" s="17" t="s">
        <v>70</v>
      </c>
      <c r="B67" s="19">
        <v>34653</v>
      </c>
      <c r="C67" s="64" t="str">
        <f>VLOOKUP(B67,IF(A67="COMPOSICAO",S!$A:$D,I!$A:$D),2,FALSE)</f>
        <v>DISJUNTOR TIPO DIN/IEC, MONOPOLAR DE 6  ATE  32A</v>
      </c>
      <c r="D67" s="64"/>
      <c r="E67" s="64"/>
      <c r="F67" s="64"/>
      <c r="G67" s="17" t="str">
        <f>VLOOKUP(B67,IF(A67="COMPOSICAO",S!$A:$D,I!$A:$D),3,FALSE)</f>
        <v>UN</v>
      </c>
      <c r="H67" s="21">
        <f>1</f>
        <v>1</v>
      </c>
      <c r="I67" s="18">
        <f>IF(A67="COMPOSICAO",VLOOKUP("TOTAL - "&amp;B67,COMPOSICAO_AUX_1!$A:$J,10,FALSE),VLOOKUP(B67,I!$A:$D,4,FALSE))</f>
        <v>8.49</v>
      </c>
      <c r="J67" s="67">
        <f>TRUNC(H67*I67,2)</f>
        <v>8.49</v>
      </c>
      <c r="K67" s="68"/>
      <c r="L67" s="3"/>
      <c r="M67" s="3"/>
      <c r="N67" s="3"/>
    </row>
    <row r="68" spans="1:14" ht="30" customHeight="1" x14ac:dyDescent="0.3">
      <c r="A68" s="17" t="s">
        <v>71</v>
      </c>
      <c r="B68" s="19">
        <v>88247</v>
      </c>
      <c r="C68" s="64" t="str">
        <f>VLOOKUP(B68,IF(A68="COMPOSICAO",S!$A:$D,I!$A:$D),2,FALSE)</f>
        <v>AUXILIAR DE ELETRICISTA COM ENCARGOS COMPLEMENTARES</v>
      </c>
      <c r="D68" s="64"/>
      <c r="E68" s="64"/>
      <c r="F68" s="64"/>
      <c r="G68" s="17" t="str">
        <f>VLOOKUP(B68,IF(A68="COMPOSICAO",S!$A:$D,I!$A:$D),3,FALSE)</f>
        <v>H</v>
      </c>
      <c r="H68" s="21">
        <f>0.0476</f>
        <v>4.7600000000000003E-2</v>
      </c>
      <c r="I68" s="18">
        <f>IF(A68="COMPOSICAO",VLOOKUP("TOTAL - "&amp;B68,COMPOSICAO_AUX_1!$A:$J,10,FALSE),VLOOKUP(B68,I!$A:$D,4,FALSE))</f>
        <v>15.469999999999999</v>
      </c>
      <c r="J68" s="67">
        <f>TRUNC(H68*I68,2)</f>
        <v>0.73</v>
      </c>
      <c r="K68" s="68"/>
      <c r="L68" s="3"/>
      <c r="M68" s="3"/>
      <c r="N68" s="3"/>
    </row>
    <row r="69" spans="1:14" ht="15" customHeight="1" x14ac:dyDescent="0.3">
      <c r="A69" s="17" t="s">
        <v>71</v>
      </c>
      <c r="B69" s="19">
        <v>88264</v>
      </c>
      <c r="C69" s="64" t="str">
        <f>VLOOKUP(B69,IF(A69="COMPOSICAO",S!$A:$D,I!$A:$D),2,FALSE)</f>
        <v>ELETRICISTA COM ENCARGOS COMPLEMENTARES</v>
      </c>
      <c r="D69" s="64"/>
      <c r="E69" s="64"/>
      <c r="F69" s="64"/>
      <c r="G69" s="17" t="str">
        <f>VLOOKUP(B69,IF(A69="COMPOSICAO",S!$A:$D,I!$A:$D),3,FALSE)</f>
        <v>H</v>
      </c>
      <c r="H69" s="21">
        <f>0.0476</f>
        <v>4.7600000000000003E-2</v>
      </c>
      <c r="I69" s="18">
        <f>IF(A69="COMPOSICAO",VLOOKUP("TOTAL - "&amp;B69,COMPOSICAO_AUX_1!$A:$J,10,FALSE),VLOOKUP(B69,I!$A:$D,4,FALSE))</f>
        <v>20.02</v>
      </c>
      <c r="J69" s="67">
        <f>TRUNC(H69*I69,2)</f>
        <v>0.95</v>
      </c>
      <c r="K69" s="68"/>
      <c r="L69" s="3"/>
      <c r="M69" s="3"/>
      <c r="N69" s="3"/>
    </row>
    <row r="70" spans="1:14" ht="15" customHeight="1" x14ac:dyDescent="0.3">
      <c r="A70" s="22" t="s">
        <v>72</v>
      </c>
      <c r="B70" s="23"/>
      <c r="C70" s="23"/>
      <c r="D70" s="23"/>
      <c r="E70" s="23"/>
      <c r="F70" s="23"/>
      <c r="G70" s="24"/>
      <c r="H70" s="25"/>
      <c r="I70" s="26"/>
      <c r="J70" s="67">
        <f>SUM(J65:K69)</f>
        <v>11.17</v>
      </c>
      <c r="K70" s="68"/>
    </row>
    <row r="71" spans="1:14" ht="15" customHeight="1" x14ac:dyDescent="0.3">
      <c r="A71" s="22" t="str">
        <f>"TAXA DE BDI ("&amp;BDI&amp;" %)"</f>
        <v>TAXA DE BDI (21,25 %)</v>
      </c>
      <c r="B71" s="23"/>
      <c r="C71" s="23"/>
      <c r="D71" s="23"/>
      <c r="E71" s="23"/>
      <c r="F71" s="23"/>
      <c r="G71" s="24"/>
      <c r="H71" s="25"/>
      <c r="I71" s="26"/>
      <c r="J71" s="67">
        <f>ROUND(J70*(BDI/100),2)</f>
        <v>2.37</v>
      </c>
      <c r="K71" s="68"/>
    </row>
    <row r="72" spans="1:14" ht="15" customHeight="1" x14ac:dyDescent="0.3">
      <c r="A72" s="22" t="s">
        <v>81</v>
      </c>
      <c r="B72" s="23"/>
      <c r="C72" s="23"/>
      <c r="D72" s="23"/>
      <c r="E72" s="23"/>
      <c r="F72" s="23"/>
      <c r="G72" s="24"/>
      <c r="H72" s="25"/>
      <c r="I72" s="26"/>
      <c r="J72" s="67">
        <f>SUM(J70:K71)</f>
        <v>13.54</v>
      </c>
      <c r="K72" s="68"/>
    </row>
    <row r="73" spans="1:14" ht="15" customHeight="1" x14ac:dyDescent="0.3">
      <c r="A73" s="3"/>
      <c r="B73" s="3"/>
      <c r="C73" s="3"/>
      <c r="D73" s="3"/>
      <c r="E73" s="3"/>
      <c r="F73" s="3"/>
      <c r="G73" s="3"/>
      <c r="H73" s="3"/>
      <c r="I73" s="3"/>
      <c r="J73" s="3"/>
      <c r="K73" s="3"/>
    </row>
    <row r="74" spans="1:14" ht="15" customHeight="1" x14ac:dyDescent="0.3">
      <c r="A74" s="10" t="s">
        <v>63</v>
      </c>
      <c r="B74" s="10" t="s">
        <v>24</v>
      </c>
      <c r="C74" s="75" t="s">
        <v>8</v>
      </c>
      <c r="D74" s="76"/>
      <c r="E74" s="76"/>
      <c r="F74" s="76"/>
      <c r="G74" s="6" t="s">
        <v>25</v>
      </c>
      <c r="H74" s="6" t="s">
        <v>64</v>
      </c>
      <c r="I74" s="6" t="s">
        <v>65</v>
      </c>
      <c r="J74" s="62" t="s">
        <v>10</v>
      </c>
      <c r="K74" s="63"/>
    </row>
    <row r="75" spans="1:14" ht="60" customHeight="1" x14ac:dyDescent="0.3">
      <c r="A75" s="6" t="s">
        <v>66</v>
      </c>
      <c r="B75" s="6" t="s">
        <v>57</v>
      </c>
      <c r="C75" s="84" t="s">
        <v>82</v>
      </c>
      <c r="D75" s="84"/>
      <c r="E75" s="84"/>
      <c r="F75" s="85"/>
      <c r="G75" s="6" t="s">
        <v>78</v>
      </c>
      <c r="H75" s="20"/>
      <c r="I75" s="20">
        <f>J81</f>
        <v>1207.2399999999998</v>
      </c>
      <c r="J75" s="70"/>
      <c r="K75" s="71"/>
      <c r="L75" s="20">
        <v>0</v>
      </c>
      <c r="M75" s="6" t="s">
        <v>69</v>
      </c>
    </row>
    <row r="76" spans="1:14" ht="45" customHeight="1" x14ac:dyDescent="0.3">
      <c r="A76" s="17" t="s">
        <v>70</v>
      </c>
      <c r="B76" s="19">
        <v>5050</v>
      </c>
      <c r="C76" s="64" t="str">
        <f>VLOOKUP(B76,IF(A76="COMPOSICAO",S!$A:$D,I!$A:$D),2,FALSE)</f>
        <v>POSTE CONICO CONTINUO EM ACO GALVANIZADO, RETO, FLANGEADO, H = 3 M, DIAMETRO INFERIOR = *95* MM</v>
      </c>
      <c r="D76" s="64"/>
      <c r="E76" s="64"/>
      <c r="F76" s="64"/>
      <c r="G76" s="17" t="str">
        <f>VLOOKUP(B76,IF(A76="COMPOSICAO",S!$A:$D,I!$A:$D),3,FALSE)</f>
        <v>UN</v>
      </c>
      <c r="H76" s="21">
        <f>1</f>
        <v>1</v>
      </c>
      <c r="I76" s="18">
        <f>IF(A76="COMPOSICAO",VLOOKUP("TOTAL - "&amp;B76,COMPOSICAO_AUX_1!$A:$J,10,FALSE),VLOOKUP(B76,I!$A:$D,4,FALSE))</f>
        <v>398.68</v>
      </c>
      <c r="J76" s="67">
        <f>TRUNC(H76*I76,2)</f>
        <v>398.68</v>
      </c>
      <c r="K76" s="68"/>
      <c r="L76" s="3"/>
      <c r="M76" s="3"/>
      <c r="N76" s="3"/>
    </row>
    <row r="77" spans="1:14" ht="30" customHeight="1" x14ac:dyDescent="0.3">
      <c r="A77" s="17" t="s">
        <v>70</v>
      </c>
      <c r="B77" s="19">
        <v>11975</v>
      </c>
      <c r="C77" s="64" t="str">
        <f>VLOOKUP(B77,IF(A77="COMPOSICAO",S!$A:$D,I!$A:$D),2,FALSE)</f>
        <v>CHUMBADOR DE ACO, DIAMETRO 5/8", COMPRIMENTO 6", COM PORCA</v>
      </c>
      <c r="D77" s="64"/>
      <c r="E77" s="64"/>
      <c r="F77" s="64"/>
      <c r="G77" s="17" t="str">
        <f>VLOOKUP(B77,IF(A77="COMPOSICAO",S!$A:$D,I!$A:$D),3,FALSE)</f>
        <v>UN</v>
      </c>
      <c r="H77" s="21">
        <f>4</f>
        <v>4</v>
      </c>
      <c r="I77" s="18">
        <f>IF(A77="COMPOSICAO",VLOOKUP("TOTAL - "&amp;B77,COMPOSICAO_AUX_1!$A:$J,10,FALSE),VLOOKUP(B77,I!$A:$D,4,FALSE))</f>
        <v>11.4</v>
      </c>
      <c r="J77" s="67">
        <f>TRUNC(H77*I77,2)</f>
        <v>45.6</v>
      </c>
      <c r="K77" s="68"/>
      <c r="L77" s="3"/>
      <c r="M77" s="3"/>
      <c r="N77" s="3"/>
    </row>
    <row r="78" spans="1:14" ht="45" customHeight="1" x14ac:dyDescent="0.3">
      <c r="A78" s="17" t="s">
        <v>71</v>
      </c>
      <c r="B78" s="19">
        <v>101654</v>
      </c>
      <c r="C78" s="64" t="str">
        <f>VLOOKUP(B78,IF(A78="COMPOSICAO",S!$A:$D,I!$A:$D),2,FALSE)</f>
        <v>LUMINÁRIA DE LED PARA ILUMINAÇÃO PÚBLICA, DE 33 W ATÉ 50 W - FORNECIMENTO E INSTALAÇÃO. AF_08/2020</v>
      </c>
      <c r="D78" s="64"/>
      <c r="E78" s="64"/>
      <c r="F78" s="64"/>
      <c r="G78" s="17" t="str">
        <f>VLOOKUP(B78,IF(A78="COMPOSICAO",S!$A:$D,I!$A:$D),3,FALSE)</f>
        <v>UN</v>
      </c>
      <c r="H78" s="21">
        <f>2</f>
        <v>2</v>
      </c>
      <c r="I78" s="18">
        <f>IF(A78="COMPOSICAO",VLOOKUP("TOTAL - "&amp;B78,COMPOSICAO_AUX_1!$A:$J,10,FALSE),VLOOKUP(B78,I!$A:$D,4,FALSE))</f>
        <v>338.90000000000003</v>
      </c>
      <c r="J78" s="67">
        <f>TRUNC(H78*I78,2)</f>
        <v>677.8</v>
      </c>
      <c r="K78" s="68"/>
      <c r="L78" s="3"/>
      <c r="M78" s="3"/>
      <c r="N78" s="3"/>
    </row>
    <row r="79" spans="1:14" ht="30" customHeight="1" x14ac:dyDescent="0.3">
      <c r="A79" s="17" t="s">
        <v>71</v>
      </c>
      <c r="B79" s="19">
        <v>88247</v>
      </c>
      <c r="C79" s="64" t="str">
        <f>VLOOKUP(B79,IF(A79="COMPOSICAO",S!$A:$D,I!$A:$D),2,FALSE)</f>
        <v>AUXILIAR DE ELETRICISTA COM ENCARGOS COMPLEMENTARES</v>
      </c>
      <c r="D79" s="64"/>
      <c r="E79" s="64"/>
      <c r="F79" s="64"/>
      <c r="G79" s="17" t="str">
        <f>VLOOKUP(B79,IF(A79="COMPOSICAO",S!$A:$D,I!$A:$D),3,FALSE)</f>
        <v>H</v>
      </c>
      <c r="H79" s="21">
        <f>1.058</f>
        <v>1.0580000000000001</v>
      </c>
      <c r="I79" s="18">
        <f>IF(A79="COMPOSICAO",VLOOKUP("TOTAL - "&amp;B79,COMPOSICAO_AUX_1!$A:$J,10,FALSE),VLOOKUP(B79,I!$A:$D,4,FALSE))</f>
        <v>15.469999999999999</v>
      </c>
      <c r="J79" s="67">
        <f>TRUNC(H79*I79,2)</f>
        <v>16.36</v>
      </c>
      <c r="K79" s="68"/>
      <c r="L79" s="3"/>
      <c r="M79" s="3"/>
      <c r="N79" s="3"/>
    </row>
    <row r="80" spans="1:14" ht="15" customHeight="1" x14ac:dyDescent="0.3">
      <c r="A80" s="17" t="s">
        <v>71</v>
      </c>
      <c r="B80" s="19">
        <v>88264</v>
      </c>
      <c r="C80" s="64" t="str">
        <f>VLOOKUP(B80,IF(A80="COMPOSICAO",S!$A:$D,I!$A:$D),2,FALSE)</f>
        <v>ELETRICISTA COM ENCARGOS COMPLEMENTARES</v>
      </c>
      <c r="D80" s="64"/>
      <c r="E80" s="64"/>
      <c r="F80" s="64"/>
      <c r="G80" s="17" t="str">
        <f>VLOOKUP(B80,IF(A80="COMPOSICAO",S!$A:$D,I!$A:$D),3,FALSE)</f>
        <v>H</v>
      </c>
      <c r="H80" s="21">
        <f>3.437</f>
        <v>3.4369999999999998</v>
      </c>
      <c r="I80" s="18">
        <f>IF(A80="COMPOSICAO",VLOOKUP("TOTAL - "&amp;B80,COMPOSICAO_AUX_1!$A:$J,10,FALSE),VLOOKUP(B80,I!$A:$D,4,FALSE))</f>
        <v>20.02</v>
      </c>
      <c r="J80" s="67">
        <f>TRUNC(H80*I80,2)</f>
        <v>68.8</v>
      </c>
      <c r="K80" s="68"/>
      <c r="L80" s="3"/>
      <c r="M80" s="3"/>
      <c r="N80" s="3"/>
    </row>
    <row r="81" spans="1:14" ht="15" customHeight="1" x14ac:dyDescent="0.3">
      <c r="A81" s="22" t="s">
        <v>72</v>
      </c>
      <c r="B81" s="23"/>
      <c r="C81" s="23"/>
      <c r="D81" s="23"/>
      <c r="E81" s="23"/>
      <c r="F81" s="23"/>
      <c r="G81" s="24"/>
      <c r="H81" s="25"/>
      <c r="I81" s="26"/>
      <c r="J81" s="67">
        <f>SUM(J75:K80)</f>
        <v>1207.2399999999998</v>
      </c>
      <c r="K81" s="68"/>
    </row>
    <row r="82" spans="1:14" ht="15" customHeight="1" x14ac:dyDescent="0.3">
      <c r="A82" s="22" t="str">
        <f>"TAXA DE BDI ("&amp;BDI&amp;" %)"</f>
        <v>TAXA DE BDI (21,25 %)</v>
      </c>
      <c r="B82" s="23"/>
      <c r="C82" s="23"/>
      <c r="D82" s="23"/>
      <c r="E82" s="23"/>
      <c r="F82" s="23"/>
      <c r="G82" s="24"/>
      <c r="H82" s="25"/>
      <c r="I82" s="26"/>
      <c r="J82" s="67">
        <f>ROUND(J81*(BDI/100),2)</f>
        <v>256.54000000000002</v>
      </c>
      <c r="K82" s="68"/>
    </row>
    <row r="83" spans="1:14" ht="15" customHeight="1" x14ac:dyDescent="0.3">
      <c r="A83" s="22" t="s">
        <v>83</v>
      </c>
      <c r="B83" s="23"/>
      <c r="C83" s="23"/>
      <c r="D83" s="23"/>
      <c r="E83" s="23"/>
      <c r="F83" s="23"/>
      <c r="G83" s="24"/>
      <c r="H83" s="25"/>
      <c r="I83" s="26"/>
      <c r="J83" s="67">
        <f>SUM(J81:K82)</f>
        <v>1463.7799999999997</v>
      </c>
      <c r="K83" s="68"/>
    </row>
    <row r="84" spans="1:14" ht="15" customHeight="1" x14ac:dyDescent="0.3">
      <c r="A84" s="3"/>
      <c r="B84" s="3"/>
      <c r="C84" s="3"/>
      <c r="D84" s="3"/>
      <c r="E84" s="3"/>
      <c r="F84" s="3"/>
      <c r="G84" s="3"/>
      <c r="H84" s="3"/>
      <c r="I84" s="3"/>
      <c r="J84" s="3"/>
      <c r="K84" s="3"/>
    </row>
    <row r="85" spans="1:14" ht="15" customHeight="1" x14ac:dyDescent="0.3">
      <c r="A85" s="10" t="s">
        <v>63</v>
      </c>
      <c r="B85" s="10" t="s">
        <v>24</v>
      </c>
      <c r="C85" s="75" t="s">
        <v>8</v>
      </c>
      <c r="D85" s="76"/>
      <c r="E85" s="76"/>
      <c r="F85" s="76"/>
      <c r="G85" s="6" t="s">
        <v>25</v>
      </c>
      <c r="H85" s="6" t="s">
        <v>64</v>
      </c>
      <c r="I85" s="6" t="s">
        <v>65</v>
      </c>
      <c r="J85" s="62" t="s">
        <v>10</v>
      </c>
      <c r="K85" s="63"/>
    </row>
    <row r="86" spans="1:14" ht="60" customHeight="1" x14ac:dyDescent="0.3">
      <c r="A86" s="6" t="s">
        <v>66</v>
      </c>
      <c r="B86" s="27">
        <v>91875</v>
      </c>
      <c r="C86" s="84" t="str">
        <f>VLOOKUP(B86,S!$A:$D,2,FALSE)</f>
        <v>LUVA PARA ELETRODUTO, PVC, ROSCÁVEL, DN 25 MM (3/4"), PARA CIRCUITOS TERMINAIS, INSTALADA EM FORRO - FORNECIMENTO E INSTALAÇÃO. AF_12/2015</v>
      </c>
      <c r="D86" s="84"/>
      <c r="E86" s="84"/>
      <c r="F86" s="85"/>
      <c r="G86" s="6" t="str">
        <f>VLOOKUP(B86,S!$A:$D,3,FALSE)</f>
        <v>UN</v>
      </c>
      <c r="H86" s="20"/>
      <c r="I86" s="20">
        <f>J90</f>
        <v>4.93</v>
      </c>
      <c r="J86" s="70"/>
      <c r="K86" s="71"/>
      <c r="L86" s="20">
        <f>VLOOKUP(B86,S!$A:$D,4,FALSE)</f>
        <v>4.93</v>
      </c>
      <c r="M86" s="6" t="str">
        <f>IF(ROUND((L86-I86),2)=0,"OK, confere com a tabela.",IF(ROUND((L86-I86),2)&lt;0,"ACIMA ("&amp;TEXT(ROUND(I86*100/L86,4),"0,0000")&amp;" %) da tabela.","ABAIXO ("&amp;TEXT(ROUND(I86*100/L86,4),"0,0000")&amp;" %) da tabela."))</f>
        <v>OK, confere com a tabela.</v>
      </c>
    </row>
    <row r="87" spans="1:14" ht="30" customHeight="1" x14ac:dyDescent="0.3">
      <c r="A87" s="17" t="s">
        <v>70</v>
      </c>
      <c r="B87" s="19">
        <v>1891</v>
      </c>
      <c r="C87" s="64" t="str">
        <f>VLOOKUP(B87,IF(A87="COMPOSICAO",S!$A:$D,I!$A:$D),2,FALSE)</f>
        <v>LUVA EM PVC RIGIDO ROSCAVEL, DE 3/4", PARA ELETRODUTO</v>
      </c>
      <c r="D87" s="64"/>
      <c r="E87" s="64"/>
      <c r="F87" s="64"/>
      <c r="G87" s="17" t="str">
        <f>VLOOKUP(B87,IF(A87="COMPOSICAO",S!$A:$D,I!$A:$D),3,FALSE)</f>
        <v>UN</v>
      </c>
      <c r="H87" s="21">
        <f>1</f>
        <v>1</v>
      </c>
      <c r="I87" s="18">
        <f>IF(A87="COMPOSICAO",VLOOKUP("TOTAL - "&amp;B87,COMPOSICAO_AUX_1!$A:$J,10,FALSE),VLOOKUP(B87,I!$A:$D,4,FALSE))</f>
        <v>1.1399999999999999</v>
      </c>
      <c r="J87" s="67">
        <f>TRUNC(H87*I87,2)</f>
        <v>1.1399999999999999</v>
      </c>
      <c r="K87" s="68"/>
      <c r="L87" s="3"/>
      <c r="M87" s="3"/>
      <c r="N87" s="3"/>
    </row>
    <row r="88" spans="1:14" ht="30" customHeight="1" x14ac:dyDescent="0.3">
      <c r="A88" s="17" t="s">
        <v>71</v>
      </c>
      <c r="B88" s="19">
        <v>88247</v>
      </c>
      <c r="C88" s="64" t="str">
        <f>VLOOKUP(B88,IF(A88="COMPOSICAO",S!$A:$D,I!$A:$D),2,FALSE)</f>
        <v>AUXILIAR DE ELETRICISTA COM ENCARGOS COMPLEMENTARES</v>
      </c>
      <c r="D88" s="64"/>
      <c r="E88" s="64"/>
      <c r="F88" s="64"/>
      <c r="G88" s="17" t="str">
        <f>VLOOKUP(B88,IF(A88="COMPOSICAO",S!$A:$D,I!$A:$D),3,FALSE)</f>
        <v>H</v>
      </c>
      <c r="H88" s="21">
        <f>0.107</f>
        <v>0.107</v>
      </c>
      <c r="I88" s="18">
        <f>IF(A88="COMPOSICAO",VLOOKUP("TOTAL - "&amp;B88,COMPOSICAO_AUX_1!$A:$J,10,FALSE),VLOOKUP(B88,I!$A:$D,4,FALSE))</f>
        <v>15.469999999999999</v>
      </c>
      <c r="J88" s="67">
        <f>TRUNC(H88*I88,2)</f>
        <v>1.65</v>
      </c>
      <c r="K88" s="68"/>
      <c r="L88" s="3"/>
      <c r="M88" s="3"/>
      <c r="N88" s="3"/>
    </row>
    <row r="89" spans="1:14" ht="15" customHeight="1" x14ac:dyDescent="0.3">
      <c r="A89" s="17" t="s">
        <v>71</v>
      </c>
      <c r="B89" s="19">
        <v>88264</v>
      </c>
      <c r="C89" s="64" t="str">
        <f>VLOOKUP(B89,IF(A89="COMPOSICAO",S!$A:$D,I!$A:$D),2,FALSE)</f>
        <v>ELETRICISTA COM ENCARGOS COMPLEMENTARES</v>
      </c>
      <c r="D89" s="64"/>
      <c r="E89" s="64"/>
      <c r="F89" s="64"/>
      <c r="G89" s="17" t="str">
        <f>VLOOKUP(B89,IF(A89="COMPOSICAO",S!$A:$D,I!$A:$D),3,FALSE)</f>
        <v>H</v>
      </c>
      <c r="H89" s="21">
        <f>0.107</f>
        <v>0.107</v>
      </c>
      <c r="I89" s="18">
        <f>IF(A89="COMPOSICAO",VLOOKUP("TOTAL - "&amp;B89,COMPOSICAO_AUX_1!$A:$J,10,FALSE),VLOOKUP(B89,I!$A:$D,4,FALSE))</f>
        <v>20.02</v>
      </c>
      <c r="J89" s="67">
        <f>TRUNC(H89*I89,2)</f>
        <v>2.14</v>
      </c>
      <c r="K89" s="68"/>
      <c r="L89" s="3"/>
      <c r="M89" s="3"/>
      <c r="N89" s="3"/>
    </row>
    <row r="90" spans="1:14" ht="15" customHeight="1" x14ac:dyDescent="0.3">
      <c r="A90" s="22" t="s">
        <v>72</v>
      </c>
      <c r="B90" s="23"/>
      <c r="C90" s="23"/>
      <c r="D90" s="23"/>
      <c r="E90" s="23"/>
      <c r="F90" s="23"/>
      <c r="G90" s="24"/>
      <c r="H90" s="25"/>
      <c r="I90" s="26"/>
      <c r="J90" s="67">
        <f>SUM(J86:K89)</f>
        <v>4.93</v>
      </c>
      <c r="K90" s="68"/>
    </row>
    <row r="91" spans="1:14" ht="15" customHeight="1" x14ac:dyDescent="0.3">
      <c r="A91" s="22" t="str">
        <f>"TAXA DE BDI ("&amp;BDI&amp;" %)"</f>
        <v>TAXA DE BDI (21,25 %)</v>
      </c>
      <c r="B91" s="23"/>
      <c r="C91" s="23"/>
      <c r="D91" s="23"/>
      <c r="E91" s="23"/>
      <c r="F91" s="23"/>
      <c r="G91" s="24"/>
      <c r="H91" s="25"/>
      <c r="I91" s="26"/>
      <c r="J91" s="67">
        <f>ROUND(J90*(BDI/100),2)</f>
        <v>1.05</v>
      </c>
      <c r="K91" s="68"/>
    </row>
    <row r="92" spans="1:14" ht="15" customHeight="1" x14ac:dyDescent="0.3">
      <c r="A92" s="22" t="s">
        <v>84</v>
      </c>
      <c r="B92" s="23"/>
      <c r="C92" s="23"/>
      <c r="D92" s="23"/>
      <c r="E92" s="23"/>
      <c r="F92" s="23"/>
      <c r="G92" s="24"/>
      <c r="H92" s="25"/>
      <c r="I92" s="26"/>
      <c r="J92" s="67">
        <f>SUM(J90:K91)</f>
        <v>5.9799999999999995</v>
      </c>
      <c r="K92" s="68"/>
    </row>
    <row r="93" spans="1:14" ht="15" customHeight="1" x14ac:dyDescent="0.3">
      <c r="A93" s="3"/>
      <c r="B93" s="3"/>
      <c r="C93" s="3"/>
      <c r="D93" s="3"/>
      <c r="E93" s="3"/>
      <c r="F93" s="3"/>
      <c r="G93" s="3"/>
      <c r="H93" s="3"/>
      <c r="I93" s="3"/>
      <c r="J93" s="3"/>
      <c r="K93" s="3"/>
    </row>
    <row r="94" spans="1:14" ht="15" customHeight="1" x14ac:dyDescent="0.3">
      <c r="A94" s="10" t="s">
        <v>63</v>
      </c>
      <c r="B94" s="10" t="s">
        <v>24</v>
      </c>
      <c r="C94" s="75" t="s">
        <v>8</v>
      </c>
      <c r="D94" s="76"/>
      <c r="E94" s="76"/>
      <c r="F94" s="76"/>
      <c r="G94" s="6" t="s">
        <v>25</v>
      </c>
      <c r="H94" s="6" t="s">
        <v>64</v>
      </c>
      <c r="I94" s="6" t="s">
        <v>65</v>
      </c>
      <c r="J94" s="62" t="s">
        <v>10</v>
      </c>
      <c r="K94" s="63"/>
    </row>
    <row r="95" spans="1:14" ht="45" customHeight="1" x14ac:dyDescent="0.3">
      <c r="A95" s="6" t="s">
        <v>66</v>
      </c>
      <c r="B95" s="27">
        <v>101632</v>
      </c>
      <c r="C95" s="84" t="str">
        <f>VLOOKUP(B95,S!$A:$D,2,FALSE)</f>
        <v>RELÉ FOTOELÉTRICO PARA COMANDO DE ILUMINAÇÃO EXTERNA 1000 W - FORNECIMENTO E INSTALAÇÃO. AF_08/2020</v>
      </c>
      <c r="D95" s="84"/>
      <c r="E95" s="84"/>
      <c r="F95" s="85"/>
      <c r="G95" s="6" t="str">
        <f>VLOOKUP(B95,S!$A:$D,3,FALSE)</f>
        <v>UN</v>
      </c>
      <c r="H95" s="20"/>
      <c r="I95" s="20">
        <f>J100</f>
        <v>19.689999999999998</v>
      </c>
      <c r="J95" s="70"/>
      <c r="K95" s="71"/>
      <c r="L95" s="20">
        <f>VLOOKUP(B95,S!$A:$D,4,FALSE)</f>
        <v>19.690000000000001</v>
      </c>
      <c r="M95" s="6" t="str">
        <f>IF(ROUND((L95-I95),2)=0,"OK, confere com a tabela.",IF(ROUND((L95-I95),2)&lt;0,"ACIMA ("&amp;TEXT(ROUND(I95*100/L95,4),"0,0000")&amp;" %) da tabela.","ABAIXO ("&amp;TEXT(ROUND(I95*100/L95,4),"0,0000")&amp;" %) da tabela."))</f>
        <v>OK, confere com a tabela.</v>
      </c>
    </row>
    <row r="96" spans="1:14" ht="30" customHeight="1" x14ac:dyDescent="0.3">
      <c r="A96" s="17" t="s">
        <v>70</v>
      </c>
      <c r="B96" s="19">
        <v>2510</v>
      </c>
      <c r="C96" s="64" t="str">
        <f>VLOOKUP(B96,IF(A96="COMPOSICAO",S!$A:$D,I!$A:$D),2,FALSE)</f>
        <v>RELE FOTOELETRICO INTERNO E EXTERNO BIVOLT 1000 W, DE CONECTOR, SEM BASE</v>
      </c>
      <c r="D96" s="64"/>
      <c r="E96" s="64"/>
      <c r="F96" s="64"/>
      <c r="G96" s="17" t="str">
        <f>VLOOKUP(B96,IF(A96="COMPOSICAO",S!$A:$D,I!$A:$D),3,FALSE)</f>
        <v>UN</v>
      </c>
      <c r="H96" s="21">
        <f>1</f>
        <v>1</v>
      </c>
      <c r="I96" s="18">
        <f>IF(A96="COMPOSICAO",VLOOKUP("TOTAL - "&amp;B96,COMPOSICAO_AUX_1!$A:$J,10,FALSE),VLOOKUP(B96,I!$A:$D,4,FALSE))</f>
        <v>19.03</v>
      </c>
      <c r="J96" s="67">
        <f>TRUNC(H96*I96,2)</f>
        <v>19.03</v>
      </c>
      <c r="K96" s="68"/>
      <c r="L96" s="3"/>
      <c r="M96" s="3"/>
      <c r="N96" s="3"/>
    </row>
    <row r="97" spans="1:14" ht="30" customHeight="1" x14ac:dyDescent="0.3">
      <c r="A97" s="17" t="s">
        <v>70</v>
      </c>
      <c r="B97" s="19">
        <v>21127</v>
      </c>
      <c r="C97" s="64" t="str">
        <f>VLOOKUP(B97,IF(A97="COMPOSICAO",S!$A:$D,I!$A:$D),2,FALSE)</f>
        <v>FITA ISOLANTE ADESIVA ANTICHAMA, USO ATE 750 V, EM ROLO DE 19 MM X 5 M</v>
      </c>
      <c r="D97" s="64"/>
      <c r="E97" s="64"/>
      <c r="F97" s="64"/>
      <c r="G97" s="17" t="str">
        <f>VLOOKUP(B97,IF(A97="COMPOSICAO",S!$A:$D,I!$A:$D),3,FALSE)</f>
        <v>UN</v>
      </c>
      <c r="H97" s="21">
        <f>0.021</f>
        <v>2.1000000000000001E-2</v>
      </c>
      <c r="I97" s="18">
        <f>IF(A97="COMPOSICAO",VLOOKUP("TOTAL - "&amp;B97,COMPOSICAO_AUX_1!$A:$J,10,FALSE),VLOOKUP(B97,I!$A:$D,4,FALSE))</f>
        <v>3.88</v>
      </c>
      <c r="J97" s="67">
        <f>TRUNC(H97*I97,2)</f>
        <v>0.08</v>
      </c>
      <c r="K97" s="68"/>
      <c r="L97" s="3"/>
      <c r="M97" s="3"/>
      <c r="N97" s="3"/>
    </row>
    <row r="98" spans="1:14" ht="30" customHeight="1" x14ac:dyDescent="0.3">
      <c r="A98" s="17" t="s">
        <v>71</v>
      </c>
      <c r="B98" s="19">
        <v>88247</v>
      </c>
      <c r="C98" s="64" t="str">
        <f>VLOOKUP(B98,IF(A98="COMPOSICAO",S!$A:$D,I!$A:$D),2,FALSE)</f>
        <v>AUXILIAR DE ELETRICISTA COM ENCARGOS COMPLEMENTARES</v>
      </c>
      <c r="D98" s="64"/>
      <c r="E98" s="64"/>
      <c r="F98" s="64"/>
      <c r="G98" s="17" t="str">
        <f>VLOOKUP(B98,IF(A98="COMPOSICAO",S!$A:$D,I!$A:$D),3,FALSE)</f>
        <v>H</v>
      </c>
      <c r="H98" s="21">
        <f>0.0168</f>
        <v>1.6799999999999999E-2</v>
      </c>
      <c r="I98" s="18">
        <f>IF(A98="COMPOSICAO",VLOOKUP("TOTAL - "&amp;B98,COMPOSICAO_AUX_1!$A:$J,10,FALSE),VLOOKUP(B98,I!$A:$D,4,FALSE))</f>
        <v>15.469999999999999</v>
      </c>
      <c r="J98" s="67">
        <f>TRUNC(H98*I98,2)</f>
        <v>0.25</v>
      </c>
      <c r="K98" s="68"/>
      <c r="L98" s="3"/>
      <c r="M98" s="3"/>
      <c r="N98" s="3"/>
    </row>
    <row r="99" spans="1:14" ht="15" customHeight="1" x14ac:dyDescent="0.3">
      <c r="A99" s="17" t="s">
        <v>71</v>
      </c>
      <c r="B99" s="19">
        <v>88264</v>
      </c>
      <c r="C99" s="64" t="str">
        <f>VLOOKUP(B99,IF(A99="COMPOSICAO",S!$A:$D,I!$A:$D),2,FALSE)</f>
        <v>ELETRICISTA COM ENCARGOS COMPLEMENTARES</v>
      </c>
      <c r="D99" s="64"/>
      <c r="E99" s="64"/>
      <c r="F99" s="64"/>
      <c r="G99" s="17" t="str">
        <f>VLOOKUP(B99,IF(A99="COMPOSICAO",S!$A:$D,I!$A:$D),3,FALSE)</f>
        <v>H</v>
      </c>
      <c r="H99" s="21">
        <f>0.0168</f>
        <v>1.6799999999999999E-2</v>
      </c>
      <c r="I99" s="18">
        <f>IF(A99="COMPOSICAO",VLOOKUP("TOTAL - "&amp;B99,COMPOSICAO_AUX_1!$A:$J,10,FALSE),VLOOKUP(B99,I!$A:$D,4,FALSE))</f>
        <v>20.02</v>
      </c>
      <c r="J99" s="67">
        <f>TRUNC(H99*I99,2)</f>
        <v>0.33</v>
      </c>
      <c r="K99" s="68"/>
      <c r="L99" s="3"/>
      <c r="M99" s="3"/>
      <c r="N99" s="3"/>
    </row>
    <row r="100" spans="1:14" ht="15" customHeight="1" x14ac:dyDescent="0.3">
      <c r="A100" s="22" t="s">
        <v>72</v>
      </c>
      <c r="B100" s="23"/>
      <c r="C100" s="23"/>
      <c r="D100" s="23"/>
      <c r="E100" s="23"/>
      <c r="F100" s="23"/>
      <c r="G100" s="24"/>
      <c r="H100" s="25"/>
      <c r="I100" s="26"/>
      <c r="J100" s="67">
        <f>SUM(J95:K99)</f>
        <v>19.689999999999998</v>
      </c>
      <c r="K100" s="68"/>
    </row>
    <row r="101" spans="1:14" ht="15" customHeight="1" x14ac:dyDescent="0.3">
      <c r="A101" s="22" t="str">
        <f>"TAXA DE BDI ("&amp;BDI&amp;" %)"</f>
        <v>TAXA DE BDI (21,25 %)</v>
      </c>
      <c r="B101" s="23"/>
      <c r="C101" s="23"/>
      <c r="D101" s="23"/>
      <c r="E101" s="23"/>
      <c r="F101" s="23"/>
      <c r="G101" s="24"/>
      <c r="H101" s="25"/>
      <c r="I101" s="26"/>
      <c r="J101" s="67">
        <f>ROUND(J100*(BDI/100),2)</f>
        <v>4.18</v>
      </c>
      <c r="K101" s="68"/>
    </row>
    <row r="102" spans="1:14" ht="15" customHeight="1" x14ac:dyDescent="0.3">
      <c r="A102" s="22" t="s">
        <v>85</v>
      </c>
      <c r="B102" s="23"/>
      <c r="C102" s="23"/>
      <c r="D102" s="23"/>
      <c r="E102" s="23"/>
      <c r="F102" s="23"/>
      <c r="G102" s="24"/>
      <c r="H102" s="25"/>
      <c r="I102" s="26"/>
      <c r="J102" s="67">
        <f>SUM(J100:K101)</f>
        <v>23.869999999999997</v>
      </c>
      <c r="K102" s="68"/>
    </row>
    <row r="103" spans="1:14" ht="15" customHeight="1" x14ac:dyDescent="0.3">
      <c r="A103" s="3"/>
      <c r="B103" s="3"/>
      <c r="C103" s="3"/>
      <c r="D103" s="3"/>
      <c r="E103" s="3"/>
      <c r="F103" s="3"/>
      <c r="G103" s="3"/>
      <c r="H103" s="3"/>
      <c r="I103" s="3"/>
      <c r="J103" s="3"/>
      <c r="K103" s="3"/>
    </row>
  </sheetData>
  <sheetProtection formatCells="0" formatColumns="0" formatRows="0" insertColumns="0" insertRows="0" insertHyperlinks="0" deleteColumns="0" deleteRows="0" sort="0" autoFilter="0" pivotTables="0"/>
  <mergeCells count="149">
    <mergeCell ref="A1:K1"/>
    <mergeCell ref="A2:K2"/>
    <mergeCell ref="A3:K3"/>
    <mergeCell ref="C6:F6"/>
    <mergeCell ref="J6:K6"/>
    <mergeCell ref="C7:F7"/>
    <mergeCell ref="J7:K7"/>
    <mergeCell ref="J11:K11"/>
    <mergeCell ref="J12:K12"/>
    <mergeCell ref="J13:K13"/>
    <mergeCell ref="C15:F15"/>
    <mergeCell ref="J15:K15"/>
    <mergeCell ref="C16:F16"/>
    <mergeCell ref="J16:K16"/>
    <mergeCell ref="C8:F8"/>
    <mergeCell ref="J8:K8"/>
    <mergeCell ref="C9:F9"/>
    <mergeCell ref="J9:K9"/>
    <mergeCell ref="C10:F10"/>
    <mergeCell ref="J10:K10"/>
    <mergeCell ref="C20:F20"/>
    <mergeCell ref="J20:K20"/>
    <mergeCell ref="J21:K21"/>
    <mergeCell ref="J22:K22"/>
    <mergeCell ref="J23:K23"/>
    <mergeCell ref="C25:F25"/>
    <mergeCell ref="J25:K25"/>
    <mergeCell ref="C17:F17"/>
    <mergeCell ref="J17:K17"/>
    <mergeCell ref="C18:F18"/>
    <mergeCell ref="J18:K18"/>
    <mergeCell ref="C19:F19"/>
    <mergeCell ref="J19:K19"/>
    <mergeCell ref="C29:F29"/>
    <mergeCell ref="J29:K29"/>
    <mergeCell ref="J30:K30"/>
    <mergeCell ref="J31:K31"/>
    <mergeCell ref="J32:K32"/>
    <mergeCell ref="C34:F34"/>
    <mergeCell ref="J34:K34"/>
    <mergeCell ref="C26:F26"/>
    <mergeCell ref="J26:K26"/>
    <mergeCell ref="C27:F27"/>
    <mergeCell ref="J27:K27"/>
    <mergeCell ref="C28:F28"/>
    <mergeCell ref="J28:K28"/>
    <mergeCell ref="C38:F38"/>
    <mergeCell ref="J38:K38"/>
    <mergeCell ref="C39:F39"/>
    <mergeCell ref="J39:K39"/>
    <mergeCell ref="C40:F40"/>
    <mergeCell ref="J40:K40"/>
    <mergeCell ref="C35:F35"/>
    <mergeCell ref="J35:K35"/>
    <mergeCell ref="C36:F36"/>
    <mergeCell ref="J36:K36"/>
    <mergeCell ref="C37:F37"/>
    <mergeCell ref="J37:K37"/>
    <mergeCell ref="C47:F47"/>
    <mergeCell ref="J47:K47"/>
    <mergeCell ref="C48:F48"/>
    <mergeCell ref="J48:K48"/>
    <mergeCell ref="C49:F49"/>
    <mergeCell ref="J49:K49"/>
    <mergeCell ref="J41:K41"/>
    <mergeCell ref="J42:K42"/>
    <mergeCell ref="J43:K43"/>
    <mergeCell ref="C45:F45"/>
    <mergeCell ref="J45:K45"/>
    <mergeCell ref="C46:F46"/>
    <mergeCell ref="J46:K46"/>
    <mergeCell ref="C56:F56"/>
    <mergeCell ref="J56:K56"/>
    <mergeCell ref="C57:F57"/>
    <mergeCell ref="J57:K57"/>
    <mergeCell ref="C58:F58"/>
    <mergeCell ref="J58:K58"/>
    <mergeCell ref="J50:K50"/>
    <mergeCell ref="J51:K51"/>
    <mergeCell ref="J52:K52"/>
    <mergeCell ref="C54:F54"/>
    <mergeCell ref="J54:K54"/>
    <mergeCell ref="C55:F55"/>
    <mergeCell ref="J55:K55"/>
    <mergeCell ref="C65:F65"/>
    <mergeCell ref="J65:K65"/>
    <mergeCell ref="C66:F66"/>
    <mergeCell ref="J66:K66"/>
    <mergeCell ref="C67:F67"/>
    <mergeCell ref="J67:K67"/>
    <mergeCell ref="C59:F59"/>
    <mergeCell ref="J59:K59"/>
    <mergeCell ref="J60:K60"/>
    <mergeCell ref="J61:K61"/>
    <mergeCell ref="J62:K62"/>
    <mergeCell ref="C64:F64"/>
    <mergeCell ref="J64:K64"/>
    <mergeCell ref="J72:K72"/>
    <mergeCell ref="C74:F74"/>
    <mergeCell ref="J74:K74"/>
    <mergeCell ref="C75:F75"/>
    <mergeCell ref="J75:K75"/>
    <mergeCell ref="C76:F76"/>
    <mergeCell ref="J76:K76"/>
    <mergeCell ref="C68:F68"/>
    <mergeCell ref="J68:K68"/>
    <mergeCell ref="C69:F69"/>
    <mergeCell ref="J69:K69"/>
    <mergeCell ref="J70:K70"/>
    <mergeCell ref="J71:K71"/>
    <mergeCell ref="C80:F80"/>
    <mergeCell ref="J80:K80"/>
    <mergeCell ref="J81:K81"/>
    <mergeCell ref="J82:K82"/>
    <mergeCell ref="J83:K83"/>
    <mergeCell ref="C85:F85"/>
    <mergeCell ref="J85:K85"/>
    <mergeCell ref="C77:F77"/>
    <mergeCell ref="J77:K77"/>
    <mergeCell ref="C78:F78"/>
    <mergeCell ref="J78:K78"/>
    <mergeCell ref="C79:F79"/>
    <mergeCell ref="J79:K79"/>
    <mergeCell ref="C89:F89"/>
    <mergeCell ref="J89:K89"/>
    <mergeCell ref="J90:K90"/>
    <mergeCell ref="J91:K91"/>
    <mergeCell ref="J92:K92"/>
    <mergeCell ref="C94:F94"/>
    <mergeCell ref="J94:K94"/>
    <mergeCell ref="C86:F86"/>
    <mergeCell ref="J86:K86"/>
    <mergeCell ref="C87:F87"/>
    <mergeCell ref="J87:K87"/>
    <mergeCell ref="C88:F88"/>
    <mergeCell ref="J88:K88"/>
    <mergeCell ref="J102:K102"/>
    <mergeCell ref="C98:F98"/>
    <mergeCell ref="J98:K98"/>
    <mergeCell ref="C99:F99"/>
    <mergeCell ref="J99:K99"/>
    <mergeCell ref="J100:K100"/>
    <mergeCell ref="J101:K101"/>
    <mergeCell ref="C95:F95"/>
    <mergeCell ref="J95:K95"/>
    <mergeCell ref="C96:F96"/>
    <mergeCell ref="J96:K96"/>
    <mergeCell ref="C97:F97"/>
    <mergeCell ref="J97:K97"/>
  </mergeCells>
  <pageMargins left="0.70866141732283472" right="0.70866141732283472" top="1.3130314960629921" bottom="0.74803149606299213" header="0.31496062992125984" footer="0.31496062992125984"/>
  <pageSetup paperSize="9" scale="62" orientation="portrait" r:id="rId1"/>
  <rowBreaks count="2" manualBreakCount="2">
    <brk id="44" max="10" man="1"/>
    <brk id="83"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
  <sheetViews>
    <sheetView showGridLines="0" workbookViewId="0">
      <selection activeCell="I9" sqref="I9"/>
    </sheetView>
  </sheetViews>
  <sheetFormatPr defaultColWidth="9.109375" defaultRowHeight="15" customHeight="1" x14ac:dyDescent="0.3"/>
  <cols>
    <col min="1" max="1" width="14.6640625" style="1" customWidth="1"/>
    <col min="2" max="2" width="12.6640625" style="1" customWidth="1"/>
    <col min="3" max="3" width="4.6640625" style="1" customWidth="1"/>
    <col min="4" max="4" width="8.6640625" style="1" customWidth="1"/>
    <col min="5" max="5" width="25.6640625" style="1" customWidth="1"/>
    <col min="6" max="6" width="12.6640625" style="1" customWidth="1"/>
    <col min="7" max="7" width="8.6640625" style="1" customWidth="1"/>
    <col min="8" max="9" width="16.6640625" style="1" customWidth="1"/>
    <col min="10" max="11" width="8.6640625" style="1" customWidth="1"/>
    <col min="12" max="12" width="16.6640625" style="1" customWidth="1"/>
    <col min="13" max="13" width="27.5546875" style="1" customWidth="1"/>
    <col min="14" max="16384" width="9.109375" style="1"/>
  </cols>
  <sheetData>
    <row r="1" spans="1:13" ht="15" customHeight="1" x14ac:dyDescent="0.3">
      <c r="A1" s="54" t="str">
        <f>CIDADE</f>
        <v>MUNICÍPIO DE FLORESTA DO PIAUI - PI</v>
      </c>
      <c r="B1" s="54"/>
      <c r="C1" s="54"/>
      <c r="D1" s="54"/>
      <c r="E1" s="54"/>
      <c r="F1" s="54"/>
      <c r="G1" s="54"/>
      <c r="H1" s="54"/>
      <c r="I1" s="54"/>
      <c r="J1" s="54"/>
      <c r="K1" s="54"/>
    </row>
    <row r="2" spans="1:13" ht="15" customHeight="1" x14ac:dyDescent="0.3">
      <c r="A2" s="54" t="str">
        <f>OBRA</f>
        <v>INSTALAÇÕES ELÉTRICAS DE ILUMINAÇÃO DE PASSARELA DE  U E WILSON NUNES MARTINS FILHO</v>
      </c>
      <c r="B2" s="54"/>
      <c r="C2" s="54"/>
      <c r="D2" s="54"/>
      <c r="E2" s="54"/>
      <c r="F2" s="54"/>
      <c r="G2" s="54"/>
      <c r="H2" s="54"/>
      <c r="I2" s="54"/>
      <c r="J2" s="54"/>
      <c r="K2" s="54"/>
    </row>
    <row r="3" spans="1:13" ht="15" customHeight="1" x14ac:dyDescent="0.3">
      <c r="A3" s="54" t="s">
        <v>86</v>
      </c>
      <c r="B3" s="54"/>
      <c r="C3" s="54"/>
      <c r="D3" s="54"/>
      <c r="E3" s="54"/>
      <c r="F3" s="54"/>
      <c r="G3" s="54"/>
      <c r="H3" s="54"/>
      <c r="I3" s="54"/>
      <c r="J3" s="54"/>
      <c r="K3" s="54"/>
    </row>
    <row r="4" spans="1:13" ht="15" customHeight="1" x14ac:dyDescent="0.3">
      <c r="A4" s="3"/>
      <c r="B4" s="3"/>
      <c r="C4" s="3"/>
      <c r="D4" s="3"/>
      <c r="E4" s="3"/>
      <c r="F4" s="3"/>
      <c r="G4" s="3"/>
      <c r="H4" s="3"/>
      <c r="I4" s="3"/>
      <c r="J4" s="3"/>
      <c r="K4" s="3"/>
    </row>
    <row r="5" spans="1:13" ht="15" customHeight="1" x14ac:dyDescent="0.3">
      <c r="A5" s="2" t="s">
        <v>3</v>
      </c>
      <c r="B5" s="4" t="str">
        <f>FONTE&amp;ONERA</f>
        <v>SINAPI PI-02/2021, SEINFRA 27, ORSE-01/2021, SEM DESONERAÇÃO</v>
      </c>
      <c r="C5" s="2"/>
      <c r="D5" s="2"/>
      <c r="E5" s="2"/>
      <c r="G5" s="3"/>
      <c r="H5" s="2" t="s">
        <v>6</v>
      </c>
      <c r="I5" s="5">
        <f>LEI</f>
        <v>112.14999999999999</v>
      </c>
      <c r="J5" s="2" t="s">
        <v>7</v>
      </c>
      <c r="K5" s="5">
        <f>BDI</f>
        <v>21.25</v>
      </c>
    </row>
    <row r="6" spans="1:13" ht="15" customHeight="1" x14ac:dyDescent="0.3">
      <c r="A6" s="10" t="s">
        <v>63</v>
      </c>
      <c r="B6" s="10" t="s">
        <v>24</v>
      </c>
      <c r="C6" s="75" t="s">
        <v>8</v>
      </c>
      <c r="D6" s="76"/>
      <c r="E6" s="76"/>
      <c r="F6" s="76"/>
      <c r="G6" s="6" t="s">
        <v>25</v>
      </c>
      <c r="H6" s="6" t="s">
        <v>64</v>
      </c>
      <c r="I6" s="6" t="s">
        <v>65</v>
      </c>
      <c r="J6" s="62" t="s">
        <v>10</v>
      </c>
      <c r="K6" s="63"/>
    </row>
    <row r="7" spans="1:13" ht="30" customHeight="1" x14ac:dyDescent="0.3">
      <c r="A7" s="6" t="s">
        <v>87</v>
      </c>
      <c r="B7" s="27">
        <v>88247</v>
      </c>
      <c r="C7" s="84" t="str">
        <f>VLOOKUP(B7,S!$A:$D,2,FALSE)</f>
        <v>AUXILIAR DE ELETRICISTA COM ENCARGOS COMPLEMENTARES</v>
      </c>
      <c r="D7" s="84"/>
      <c r="E7" s="84"/>
      <c r="F7" s="85"/>
      <c r="G7" s="6" t="str">
        <f>VLOOKUP(B7,S!$A:$D,3,FALSE)</f>
        <v>H</v>
      </c>
      <c r="H7" s="20"/>
      <c r="I7" s="20">
        <f>J16</f>
        <v>15.469999999999999</v>
      </c>
      <c r="J7" s="70"/>
      <c r="K7" s="71"/>
      <c r="L7" s="20">
        <f>VLOOKUP(B7,S!$A:$D,4,FALSE)</f>
        <v>15.47</v>
      </c>
      <c r="M7" s="6" t="str">
        <f>IF(ROUND((L7-I7),2)=0,"OK, confere com a tabela.",IF(ROUND((L7-I7),2)&lt;0,"ACIMA ("&amp;TEXT(ROUND(I7*100/L7,4),"0,0000")&amp;" %) da tabela.","ABAIXO ("&amp;TEXT(ROUND(I7*100/L7,4),"0,0000")&amp;" %) da tabela."))</f>
        <v>OK, confere com a tabela.</v>
      </c>
    </row>
    <row r="8" spans="1:13" ht="15" customHeight="1" x14ac:dyDescent="0.3">
      <c r="A8" s="17" t="s">
        <v>70</v>
      </c>
      <c r="B8" s="19">
        <v>247</v>
      </c>
      <c r="C8" s="64" t="str">
        <f>VLOOKUP(B8,IF(A8="COMPOSICAO",S!$A:$D,I!$A:$D),2,FALSE)</f>
        <v>AJUDANTE DE ELETRICISTA</v>
      </c>
      <c r="D8" s="64"/>
      <c r="E8" s="64"/>
      <c r="F8" s="64"/>
      <c r="G8" s="17" t="str">
        <f>VLOOKUP(B8,IF(A8="COMPOSICAO",S!$A:$D,I!$A:$D),3,FALSE)</f>
        <v>H</v>
      </c>
      <c r="H8" s="18">
        <v>1</v>
      </c>
      <c r="I8" s="18">
        <f>IF(A8="COMPOSICAO",VLOOKUP("TOTAL - "&amp;B8,COMPOSICAO_AUX_2!$A:$J,10,FALSE),VLOOKUP(B8,I!$A:$D,4,FALSE))</f>
        <v>10.5</v>
      </c>
      <c r="J8" s="67">
        <f t="shared" ref="J8:J15" si="0">TRUNC(H8*I8,2)</f>
        <v>10.5</v>
      </c>
      <c r="K8" s="68"/>
    </row>
    <row r="9" spans="1:13" ht="15" customHeight="1" x14ac:dyDescent="0.3">
      <c r="A9" s="17" t="s">
        <v>70</v>
      </c>
      <c r="B9" s="19">
        <v>37370</v>
      </c>
      <c r="C9" s="64" t="str">
        <f>VLOOKUP(B9,IF(A9="COMPOSICAO",S!$A:$D,I!$A:$D),2,FALSE)</f>
        <v>ALIMENTACAO - HORISTA (COLETADO CAIXA)</v>
      </c>
      <c r="D9" s="64"/>
      <c r="E9" s="64"/>
      <c r="F9" s="64"/>
      <c r="G9" s="17" t="str">
        <f>VLOOKUP(B9,IF(A9="COMPOSICAO",S!$A:$D,I!$A:$D),3,FALSE)</f>
        <v>H</v>
      </c>
      <c r="H9" s="18">
        <v>1</v>
      </c>
      <c r="I9" s="18">
        <f>IF(A9="COMPOSICAO",VLOOKUP("TOTAL - "&amp;B9,COMPOSICAO_AUX_2!$A:$J,10,FALSE),VLOOKUP(B9,I!$A:$D,4,FALSE))</f>
        <v>1.86</v>
      </c>
      <c r="J9" s="67">
        <f t="shared" si="0"/>
        <v>1.86</v>
      </c>
      <c r="K9" s="68"/>
    </row>
    <row r="10" spans="1:13" ht="15" customHeight="1" x14ac:dyDescent="0.3">
      <c r="A10" s="17" t="s">
        <v>70</v>
      </c>
      <c r="B10" s="19">
        <v>37371</v>
      </c>
      <c r="C10" s="64" t="str">
        <f>VLOOKUP(B10,IF(A10="COMPOSICAO",S!$A:$D,I!$A:$D),2,FALSE)</f>
        <v>TRANSPORTE - HORISTA (COLETADO CAIXA)</v>
      </c>
      <c r="D10" s="64"/>
      <c r="E10" s="64"/>
      <c r="F10" s="64"/>
      <c r="G10" s="17" t="str">
        <f>VLOOKUP(B10,IF(A10="COMPOSICAO",S!$A:$D,I!$A:$D),3,FALSE)</f>
        <v>H</v>
      </c>
      <c r="H10" s="18">
        <v>1</v>
      </c>
      <c r="I10" s="18">
        <f>IF(A10="COMPOSICAO",VLOOKUP("TOTAL - "&amp;B10,COMPOSICAO_AUX_2!$A:$J,10,FALSE),VLOOKUP(B10,I!$A:$D,4,FALSE))</f>
        <v>0.7</v>
      </c>
      <c r="J10" s="67">
        <f t="shared" si="0"/>
        <v>0.7</v>
      </c>
      <c r="K10" s="68"/>
    </row>
    <row r="11" spans="1:13" ht="15" customHeight="1" x14ac:dyDescent="0.3">
      <c r="A11" s="17" t="s">
        <v>70</v>
      </c>
      <c r="B11" s="19">
        <v>37372</v>
      </c>
      <c r="C11" s="64" t="str">
        <f>VLOOKUP(B11,IF(A11="COMPOSICAO",S!$A:$D,I!$A:$D),2,FALSE)</f>
        <v>EXAMES - HORISTA (COLETADO CAIXA)</v>
      </c>
      <c r="D11" s="64"/>
      <c r="E11" s="64"/>
      <c r="F11" s="64"/>
      <c r="G11" s="17" t="str">
        <f>VLOOKUP(B11,IF(A11="COMPOSICAO",S!$A:$D,I!$A:$D),3,FALSE)</f>
        <v>H</v>
      </c>
      <c r="H11" s="18">
        <v>1</v>
      </c>
      <c r="I11" s="18">
        <f>IF(A11="COMPOSICAO",VLOOKUP("TOTAL - "&amp;B11,COMPOSICAO_AUX_2!$A:$J,10,FALSE),VLOOKUP(B11,I!$A:$D,4,FALSE))</f>
        <v>0.55000000000000004</v>
      </c>
      <c r="J11" s="67">
        <f t="shared" si="0"/>
        <v>0.55000000000000004</v>
      </c>
      <c r="K11" s="68"/>
    </row>
    <row r="12" spans="1:13" ht="15" customHeight="1" x14ac:dyDescent="0.3">
      <c r="A12" s="17" t="s">
        <v>70</v>
      </c>
      <c r="B12" s="19">
        <v>37373</v>
      </c>
      <c r="C12" s="64" t="str">
        <f>VLOOKUP(B12,IF(A12="COMPOSICAO",S!$A:$D,I!$A:$D),2,FALSE)</f>
        <v>SEGURO - HORISTA (COLETADO CAIXA)</v>
      </c>
      <c r="D12" s="64"/>
      <c r="E12" s="64"/>
      <c r="F12" s="64"/>
      <c r="G12" s="17" t="str">
        <f>VLOOKUP(B12,IF(A12="COMPOSICAO",S!$A:$D,I!$A:$D),3,FALSE)</f>
        <v>H</v>
      </c>
      <c r="H12" s="18">
        <v>1</v>
      </c>
      <c r="I12" s="18">
        <f>IF(A12="COMPOSICAO",VLOOKUP("TOTAL - "&amp;B12,COMPOSICAO_AUX_2!$A:$J,10,FALSE),VLOOKUP(B12,I!$A:$D,4,FALSE))</f>
        <v>0.06</v>
      </c>
      <c r="J12" s="67">
        <f t="shared" si="0"/>
        <v>0.06</v>
      </c>
      <c r="K12" s="68"/>
    </row>
    <row r="13" spans="1:13" ht="30" customHeight="1" x14ac:dyDescent="0.3">
      <c r="A13" s="17" t="s">
        <v>70</v>
      </c>
      <c r="B13" s="19">
        <v>43460</v>
      </c>
      <c r="C13" s="64" t="str">
        <f>VLOOKUP(B13,IF(A13="COMPOSICAO",S!$A:$D,I!$A:$D),2,FALSE)</f>
        <v>FERRAMENTAS - FAMILIA ELETRICISTA - HORISTA (ENCARGOS COMPLEMENTARES - COLETADO CAIXA)</v>
      </c>
      <c r="D13" s="64"/>
      <c r="E13" s="64"/>
      <c r="F13" s="64"/>
      <c r="G13" s="17" t="str">
        <f>VLOOKUP(B13,IF(A13="COMPOSICAO",S!$A:$D,I!$A:$D),3,FALSE)</f>
        <v>H</v>
      </c>
      <c r="H13" s="18">
        <v>1</v>
      </c>
      <c r="I13" s="18">
        <f>IF(A13="COMPOSICAO",VLOOKUP("TOTAL - "&amp;B13,COMPOSICAO_AUX_2!$A:$J,10,FALSE),VLOOKUP(B13,I!$A:$D,4,FALSE))</f>
        <v>0.62</v>
      </c>
      <c r="J13" s="67">
        <f t="shared" si="0"/>
        <v>0.62</v>
      </c>
      <c r="K13" s="68"/>
    </row>
    <row r="14" spans="1:13" ht="30" customHeight="1" x14ac:dyDescent="0.3">
      <c r="A14" s="17" t="s">
        <v>70</v>
      </c>
      <c r="B14" s="19">
        <v>43484</v>
      </c>
      <c r="C14" s="64" t="str">
        <f>VLOOKUP(B14,IF(A14="COMPOSICAO",S!$A:$D,I!$A:$D),2,FALSE)</f>
        <v>EPI - FAMILIA ELETRICISTA - HORISTA (ENCARGOS COMPLEMENTARES - COLETADO CAIXA)</v>
      </c>
      <c r="D14" s="64"/>
      <c r="E14" s="64"/>
      <c r="F14" s="64"/>
      <c r="G14" s="17" t="str">
        <f>VLOOKUP(B14,IF(A14="COMPOSICAO",S!$A:$D,I!$A:$D),3,FALSE)</f>
        <v>H</v>
      </c>
      <c r="H14" s="18">
        <v>1</v>
      </c>
      <c r="I14" s="18">
        <f>IF(A14="COMPOSICAO",VLOOKUP("TOTAL - "&amp;B14,COMPOSICAO_AUX_2!$A:$J,10,FALSE),VLOOKUP(B14,I!$A:$D,4,FALSE))</f>
        <v>0.91</v>
      </c>
      <c r="J14" s="67">
        <f t="shared" si="0"/>
        <v>0.91</v>
      </c>
      <c r="K14" s="68"/>
    </row>
    <row r="15" spans="1:13" ht="30" customHeight="1" x14ac:dyDescent="0.3">
      <c r="A15" s="17" t="s">
        <v>71</v>
      </c>
      <c r="B15" s="19">
        <v>95316</v>
      </c>
      <c r="C15" s="64" t="str">
        <f>VLOOKUP(B15,IF(A15="COMPOSICAO",S!$A:$D,I!$A:$D),2,FALSE)</f>
        <v>CURSO DE CAPACITAÇÃO PARA AUXILIAR DE ELETRICISTA (ENCARGOS COMPLEMENTARES) - HORISTA</v>
      </c>
      <c r="D15" s="64"/>
      <c r="E15" s="64"/>
      <c r="F15" s="64"/>
      <c r="G15" s="17" t="str">
        <f>VLOOKUP(B15,IF(A15="COMPOSICAO",S!$A:$D,I!$A:$D),3,FALSE)</f>
        <v>H</v>
      </c>
      <c r="H15" s="18">
        <v>1</v>
      </c>
      <c r="I15" s="18">
        <f>IF(A15="COMPOSICAO",VLOOKUP("TOTAL - "&amp;B15,COMPOSICAO_AUX_2!$A:$J,10,FALSE),VLOOKUP(B15,I!$A:$D,4,FALSE))</f>
        <v>0.27</v>
      </c>
      <c r="J15" s="67">
        <f t="shared" si="0"/>
        <v>0.27</v>
      </c>
      <c r="K15" s="68"/>
    </row>
    <row r="16" spans="1:13" ht="15" customHeight="1" x14ac:dyDescent="0.3">
      <c r="A16" s="22" t="s">
        <v>88</v>
      </c>
      <c r="B16" s="23"/>
      <c r="C16" s="23"/>
      <c r="D16" s="23"/>
      <c r="E16" s="23"/>
      <c r="F16" s="23"/>
      <c r="G16" s="24"/>
      <c r="H16" s="25"/>
      <c r="I16" s="26"/>
      <c r="J16" s="67">
        <f>SUM(J7:K15)</f>
        <v>15.469999999999999</v>
      </c>
      <c r="K16" s="68"/>
    </row>
    <row r="17" spans="1:13" ht="15" customHeight="1" x14ac:dyDescent="0.3">
      <c r="A17" s="3"/>
      <c r="B17" s="3"/>
      <c r="C17" s="3"/>
      <c r="D17" s="3"/>
      <c r="E17" s="3"/>
      <c r="F17" s="3"/>
      <c r="G17" s="3"/>
      <c r="H17" s="3"/>
      <c r="I17" s="3"/>
      <c r="J17" s="3"/>
      <c r="K17" s="3"/>
    </row>
    <row r="18" spans="1:13" ht="15" customHeight="1" x14ac:dyDescent="0.3">
      <c r="A18" s="10" t="s">
        <v>63</v>
      </c>
      <c r="B18" s="10" t="s">
        <v>24</v>
      </c>
      <c r="C18" s="75" t="s">
        <v>8</v>
      </c>
      <c r="D18" s="76"/>
      <c r="E18" s="76"/>
      <c r="F18" s="76"/>
      <c r="G18" s="6" t="s">
        <v>25</v>
      </c>
      <c r="H18" s="6" t="s">
        <v>64</v>
      </c>
      <c r="I18" s="6" t="s">
        <v>65</v>
      </c>
      <c r="J18" s="62" t="s">
        <v>10</v>
      </c>
      <c r="K18" s="63"/>
    </row>
    <row r="19" spans="1:13" ht="15" customHeight="1" x14ac:dyDescent="0.3">
      <c r="A19" s="6" t="s">
        <v>87</v>
      </c>
      <c r="B19" s="27">
        <v>88264</v>
      </c>
      <c r="C19" s="84" t="str">
        <f>VLOOKUP(B19,S!$A:$D,2,FALSE)</f>
        <v>ELETRICISTA COM ENCARGOS COMPLEMENTARES</v>
      </c>
      <c r="D19" s="84"/>
      <c r="E19" s="84"/>
      <c r="F19" s="85"/>
      <c r="G19" s="6" t="str">
        <f>VLOOKUP(B19,S!$A:$D,3,FALSE)</f>
        <v>H</v>
      </c>
      <c r="H19" s="20"/>
      <c r="I19" s="20">
        <f>J28</f>
        <v>20.02</v>
      </c>
      <c r="J19" s="70"/>
      <c r="K19" s="71"/>
      <c r="L19" s="20">
        <f>VLOOKUP(B19,S!$A:$D,4,FALSE)</f>
        <v>20.02</v>
      </c>
      <c r="M19" s="6" t="str">
        <f>IF(ROUND((L19-I19),2)=0,"OK, confere com a tabela.",IF(ROUND((L19-I19),2)&lt;0,"ACIMA ("&amp;TEXT(ROUND(I19*100/L19,4),"0,0000")&amp;" %) da tabela.","ABAIXO ("&amp;TEXT(ROUND(I19*100/L19,4),"0,0000")&amp;" %) da tabela."))</f>
        <v>OK, confere com a tabela.</v>
      </c>
    </row>
    <row r="20" spans="1:13" ht="15" customHeight="1" x14ac:dyDescent="0.3">
      <c r="A20" s="17" t="s">
        <v>70</v>
      </c>
      <c r="B20" s="19">
        <v>2436</v>
      </c>
      <c r="C20" s="64" t="str">
        <f>VLOOKUP(B20,IF(A20="COMPOSICAO",S!$A:$D,I!$A:$D),2,FALSE)</f>
        <v>ELETRICISTA</v>
      </c>
      <c r="D20" s="64"/>
      <c r="E20" s="64"/>
      <c r="F20" s="64"/>
      <c r="G20" s="17" t="str">
        <f>VLOOKUP(B20,IF(A20="COMPOSICAO",S!$A:$D,I!$A:$D),3,FALSE)</f>
        <v>H</v>
      </c>
      <c r="H20" s="18">
        <v>1</v>
      </c>
      <c r="I20" s="18">
        <f>IF(A20="COMPOSICAO",VLOOKUP("TOTAL - "&amp;B20,COMPOSICAO_AUX_2!$A:$J,10,FALSE),VLOOKUP(B20,I!$A:$D,4,FALSE))</f>
        <v>14.93</v>
      </c>
      <c r="J20" s="67">
        <f t="shared" ref="J20:J27" si="1">TRUNC(H20*I20,2)</f>
        <v>14.93</v>
      </c>
      <c r="K20" s="68"/>
    </row>
    <row r="21" spans="1:13" ht="15" customHeight="1" x14ac:dyDescent="0.3">
      <c r="A21" s="17" t="s">
        <v>70</v>
      </c>
      <c r="B21" s="19">
        <v>37370</v>
      </c>
      <c r="C21" s="64" t="str">
        <f>VLOOKUP(B21,IF(A21="COMPOSICAO",S!$A:$D,I!$A:$D),2,FALSE)</f>
        <v>ALIMENTACAO - HORISTA (COLETADO CAIXA)</v>
      </c>
      <c r="D21" s="64"/>
      <c r="E21" s="64"/>
      <c r="F21" s="64"/>
      <c r="G21" s="17" t="str">
        <f>VLOOKUP(B21,IF(A21="COMPOSICAO",S!$A:$D,I!$A:$D),3,FALSE)</f>
        <v>H</v>
      </c>
      <c r="H21" s="18">
        <v>1</v>
      </c>
      <c r="I21" s="18">
        <f>IF(A21="COMPOSICAO",VLOOKUP("TOTAL - "&amp;B21,COMPOSICAO_AUX_2!$A:$J,10,FALSE),VLOOKUP(B21,I!$A:$D,4,FALSE))</f>
        <v>1.86</v>
      </c>
      <c r="J21" s="67">
        <f t="shared" si="1"/>
        <v>1.86</v>
      </c>
      <c r="K21" s="68"/>
    </row>
    <row r="22" spans="1:13" ht="15" customHeight="1" x14ac:dyDescent="0.3">
      <c r="A22" s="17" t="s">
        <v>70</v>
      </c>
      <c r="B22" s="19">
        <v>37371</v>
      </c>
      <c r="C22" s="64" t="str">
        <f>VLOOKUP(B22,IF(A22="COMPOSICAO",S!$A:$D,I!$A:$D),2,FALSE)</f>
        <v>TRANSPORTE - HORISTA (COLETADO CAIXA)</v>
      </c>
      <c r="D22" s="64"/>
      <c r="E22" s="64"/>
      <c r="F22" s="64"/>
      <c r="G22" s="17" t="str">
        <f>VLOOKUP(B22,IF(A22="COMPOSICAO",S!$A:$D,I!$A:$D),3,FALSE)</f>
        <v>H</v>
      </c>
      <c r="H22" s="18">
        <v>1</v>
      </c>
      <c r="I22" s="18">
        <f>IF(A22="COMPOSICAO",VLOOKUP("TOTAL - "&amp;B22,COMPOSICAO_AUX_2!$A:$J,10,FALSE),VLOOKUP(B22,I!$A:$D,4,FALSE))</f>
        <v>0.7</v>
      </c>
      <c r="J22" s="67">
        <f t="shared" si="1"/>
        <v>0.7</v>
      </c>
      <c r="K22" s="68"/>
    </row>
    <row r="23" spans="1:13" ht="15" customHeight="1" x14ac:dyDescent="0.3">
      <c r="A23" s="17" t="s">
        <v>70</v>
      </c>
      <c r="B23" s="19">
        <v>37372</v>
      </c>
      <c r="C23" s="64" t="str">
        <f>VLOOKUP(B23,IF(A23="COMPOSICAO",S!$A:$D,I!$A:$D),2,FALSE)</f>
        <v>EXAMES - HORISTA (COLETADO CAIXA)</v>
      </c>
      <c r="D23" s="64"/>
      <c r="E23" s="64"/>
      <c r="F23" s="64"/>
      <c r="G23" s="17" t="str">
        <f>VLOOKUP(B23,IF(A23="COMPOSICAO",S!$A:$D,I!$A:$D),3,FALSE)</f>
        <v>H</v>
      </c>
      <c r="H23" s="18">
        <v>1</v>
      </c>
      <c r="I23" s="18">
        <f>IF(A23="COMPOSICAO",VLOOKUP("TOTAL - "&amp;B23,COMPOSICAO_AUX_2!$A:$J,10,FALSE),VLOOKUP(B23,I!$A:$D,4,FALSE))</f>
        <v>0.55000000000000004</v>
      </c>
      <c r="J23" s="67">
        <f t="shared" si="1"/>
        <v>0.55000000000000004</v>
      </c>
      <c r="K23" s="68"/>
    </row>
    <row r="24" spans="1:13" ht="15" customHeight="1" x14ac:dyDescent="0.3">
      <c r="A24" s="17" t="s">
        <v>70</v>
      </c>
      <c r="B24" s="19">
        <v>37373</v>
      </c>
      <c r="C24" s="64" t="str">
        <f>VLOOKUP(B24,IF(A24="COMPOSICAO",S!$A:$D,I!$A:$D),2,FALSE)</f>
        <v>SEGURO - HORISTA (COLETADO CAIXA)</v>
      </c>
      <c r="D24" s="64"/>
      <c r="E24" s="64"/>
      <c r="F24" s="64"/>
      <c r="G24" s="17" t="str">
        <f>VLOOKUP(B24,IF(A24="COMPOSICAO",S!$A:$D,I!$A:$D),3,FALSE)</f>
        <v>H</v>
      </c>
      <c r="H24" s="18">
        <v>1</v>
      </c>
      <c r="I24" s="18">
        <f>IF(A24="COMPOSICAO",VLOOKUP("TOTAL - "&amp;B24,COMPOSICAO_AUX_2!$A:$J,10,FALSE),VLOOKUP(B24,I!$A:$D,4,FALSE))</f>
        <v>0.06</v>
      </c>
      <c r="J24" s="67">
        <f t="shared" si="1"/>
        <v>0.06</v>
      </c>
      <c r="K24" s="68"/>
    </row>
    <row r="25" spans="1:13" ht="30" customHeight="1" x14ac:dyDescent="0.3">
      <c r="A25" s="17" t="s">
        <v>70</v>
      </c>
      <c r="B25" s="19">
        <v>43460</v>
      </c>
      <c r="C25" s="64" t="str">
        <f>VLOOKUP(B25,IF(A25="COMPOSICAO",S!$A:$D,I!$A:$D),2,FALSE)</f>
        <v>FERRAMENTAS - FAMILIA ELETRICISTA - HORISTA (ENCARGOS COMPLEMENTARES - COLETADO CAIXA)</v>
      </c>
      <c r="D25" s="64"/>
      <c r="E25" s="64"/>
      <c r="F25" s="64"/>
      <c r="G25" s="17" t="str">
        <f>VLOOKUP(B25,IF(A25="COMPOSICAO",S!$A:$D,I!$A:$D),3,FALSE)</f>
        <v>H</v>
      </c>
      <c r="H25" s="18">
        <v>1</v>
      </c>
      <c r="I25" s="18">
        <f>IF(A25="COMPOSICAO",VLOOKUP("TOTAL - "&amp;B25,COMPOSICAO_AUX_2!$A:$J,10,FALSE),VLOOKUP(B25,I!$A:$D,4,FALSE))</f>
        <v>0.62</v>
      </c>
      <c r="J25" s="67">
        <f t="shared" si="1"/>
        <v>0.62</v>
      </c>
      <c r="K25" s="68"/>
    </row>
    <row r="26" spans="1:13" ht="30" customHeight="1" x14ac:dyDescent="0.3">
      <c r="A26" s="17" t="s">
        <v>70</v>
      </c>
      <c r="B26" s="19">
        <v>43484</v>
      </c>
      <c r="C26" s="64" t="str">
        <f>VLOOKUP(B26,IF(A26="COMPOSICAO",S!$A:$D,I!$A:$D),2,FALSE)</f>
        <v>EPI - FAMILIA ELETRICISTA - HORISTA (ENCARGOS COMPLEMENTARES - COLETADO CAIXA)</v>
      </c>
      <c r="D26" s="64"/>
      <c r="E26" s="64"/>
      <c r="F26" s="64"/>
      <c r="G26" s="17" t="str">
        <f>VLOOKUP(B26,IF(A26="COMPOSICAO",S!$A:$D,I!$A:$D),3,FALSE)</f>
        <v>H</v>
      </c>
      <c r="H26" s="18">
        <v>1</v>
      </c>
      <c r="I26" s="18">
        <f>IF(A26="COMPOSICAO",VLOOKUP("TOTAL - "&amp;B26,COMPOSICAO_AUX_2!$A:$J,10,FALSE),VLOOKUP(B26,I!$A:$D,4,FALSE))</f>
        <v>0.91</v>
      </c>
      <c r="J26" s="67">
        <f t="shared" si="1"/>
        <v>0.91</v>
      </c>
      <c r="K26" s="68"/>
    </row>
    <row r="27" spans="1:13" ht="30" customHeight="1" x14ac:dyDescent="0.3">
      <c r="A27" s="17" t="s">
        <v>71</v>
      </c>
      <c r="B27" s="19">
        <v>95332</v>
      </c>
      <c r="C27" s="64" t="str">
        <f>VLOOKUP(B27,IF(A27="COMPOSICAO",S!$A:$D,I!$A:$D),2,FALSE)</f>
        <v>CURSO DE CAPACITAÇÃO PARA ELETRICISTA (ENCARGOS COMPLEMENTARES) - HORISTA</v>
      </c>
      <c r="D27" s="64"/>
      <c r="E27" s="64"/>
      <c r="F27" s="64"/>
      <c r="G27" s="17" t="str">
        <f>VLOOKUP(B27,IF(A27="COMPOSICAO",S!$A:$D,I!$A:$D),3,FALSE)</f>
        <v>H</v>
      </c>
      <c r="H27" s="18">
        <v>1</v>
      </c>
      <c r="I27" s="18">
        <f>IF(A27="COMPOSICAO",VLOOKUP("TOTAL - "&amp;B27,COMPOSICAO_AUX_2!$A:$J,10,FALSE),VLOOKUP(B27,I!$A:$D,4,FALSE))</f>
        <v>0.39</v>
      </c>
      <c r="J27" s="67">
        <f t="shared" si="1"/>
        <v>0.39</v>
      </c>
      <c r="K27" s="68"/>
    </row>
    <row r="28" spans="1:13" ht="15" customHeight="1" x14ac:dyDescent="0.3">
      <c r="A28" s="22" t="s">
        <v>89</v>
      </c>
      <c r="B28" s="23"/>
      <c r="C28" s="23"/>
      <c r="D28" s="23"/>
      <c r="E28" s="23"/>
      <c r="F28" s="23"/>
      <c r="G28" s="24"/>
      <c r="H28" s="25"/>
      <c r="I28" s="26"/>
      <c r="J28" s="67">
        <f>SUM(J19:K27)</f>
        <v>20.02</v>
      </c>
      <c r="K28" s="68"/>
    </row>
    <row r="29" spans="1:13" ht="15" customHeight="1" x14ac:dyDescent="0.3">
      <c r="A29" s="3"/>
      <c r="B29" s="3"/>
      <c r="C29" s="3"/>
      <c r="D29" s="3"/>
      <c r="E29" s="3"/>
      <c r="F29" s="3"/>
      <c r="G29" s="3"/>
      <c r="H29" s="3"/>
      <c r="I29" s="3"/>
      <c r="J29" s="3"/>
      <c r="K29" s="3"/>
    </row>
    <row r="30" spans="1:13" ht="15" customHeight="1" x14ac:dyDescent="0.3">
      <c r="A30" s="10" t="s">
        <v>63</v>
      </c>
      <c r="B30" s="10" t="s">
        <v>24</v>
      </c>
      <c r="C30" s="75" t="s">
        <v>8</v>
      </c>
      <c r="D30" s="76"/>
      <c r="E30" s="76"/>
      <c r="F30" s="76"/>
      <c r="G30" s="6" t="s">
        <v>25</v>
      </c>
      <c r="H30" s="6" t="s">
        <v>64</v>
      </c>
      <c r="I30" s="6" t="s">
        <v>65</v>
      </c>
      <c r="J30" s="62" t="s">
        <v>10</v>
      </c>
      <c r="K30" s="63"/>
    </row>
    <row r="31" spans="1:13" ht="15" customHeight="1" x14ac:dyDescent="0.3">
      <c r="A31" s="6" t="s">
        <v>87</v>
      </c>
      <c r="B31" s="27">
        <v>88309</v>
      </c>
      <c r="C31" s="84" t="str">
        <f>VLOOKUP(B31,S!$A:$D,2,FALSE)</f>
        <v>PEDREIRO COM ENCARGOS COMPLEMENTARES</v>
      </c>
      <c r="D31" s="84"/>
      <c r="E31" s="84"/>
      <c r="F31" s="85"/>
      <c r="G31" s="6" t="str">
        <f>VLOOKUP(B31,S!$A:$D,3,FALSE)</f>
        <v>H</v>
      </c>
      <c r="H31" s="20"/>
      <c r="I31" s="20">
        <f>J40</f>
        <v>19.849999999999994</v>
      </c>
      <c r="J31" s="70"/>
      <c r="K31" s="71"/>
      <c r="L31" s="20">
        <f>VLOOKUP(B31,S!$A:$D,4,FALSE)</f>
        <v>19.850000000000001</v>
      </c>
      <c r="M31" s="6" t="str">
        <f>IF(ROUND((L31-I31),2)=0,"OK, confere com a tabela.",IF(ROUND((L31-I31),2)&lt;0,"ACIMA ("&amp;TEXT(ROUND(I31*100/L31,4),"0,0000")&amp;" %) da tabela.","ABAIXO ("&amp;TEXT(ROUND(I31*100/L31,4),"0,0000")&amp;" %) da tabela."))</f>
        <v>OK, confere com a tabela.</v>
      </c>
    </row>
    <row r="32" spans="1:13" ht="15" customHeight="1" x14ac:dyDescent="0.3">
      <c r="A32" s="17" t="s">
        <v>70</v>
      </c>
      <c r="B32" s="19">
        <v>4750</v>
      </c>
      <c r="C32" s="64" t="str">
        <f>VLOOKUP(B32,IF(A32="COMPOSICAO",S!$A:$D,I!$A:$D),2,FALSE)</f>
        <v>PEDREIRO</v>
      </c>
      <c r="D32" s="64"/>
      <c r="E32" s="64"/>
      <c r="F32" s="64"/>
      <c r="G32" s="17" t="str">
        <f>VLOOKUP(B32,IF(A32="COMPOSICAO",S!$A:$D,I!$A:$D),3,FALSE)</f>
        <v>H</v>
      </c>
      <c r="H32" s="18">
        <v>1</v>
      </c>
      <c r="I32" s="18">
        <f>IF(A32="COMPOSICAO",VLOOKUP("TOTAL - "&amp;B32,COMPOSICAO_AUX_2!$A:$J,10,FALSE),VLOOKUP(B32,I!$A:$D,4,FALSE))</f>
        <v>14.93</v>
      </c>
      <c r="J32" s="67">
        <f t="shared" ref="J32:J39" si="2">TRUNC(H32*I32,2)</f>
        <v>14.93</v>
      </c>
      <c r="K32" s="68"/>
    </row>
    <row r="33" spans="1:13" ht="15" customHeight="1" x14ac:dyDescent="0.3">
      <c r="A33" s="17" t="s">
        <v>70</v>
      </c>
      <c r="B33" s="19">
        <v>37370</v>
      </c>
      <c r="C33" s="64" t="str">
        <f>VLOOKUP(B33,IF(A33="COMPOSICAO",S!$A:$D,I!$A:$D),2,FALSE)</f>
        <v>ALIMENTACAO - HORISTA (COLETADO CAIXA)</v>
      </c>
      <c r="D33" s="64"/>
      <c r="E33" s="64"/>
      <c r="F33" s="64"/>
      <c r="G33" s="17" t="str">
        <f>VLOOKUP(B33,IF(A33="COMPOSICAO",S!$A:$D,I!$A:$D),3,FALSE)</f>
        <v>H</v>
      </c>
      <c r="H33" s="18">
        <v>1</v>
      </c>
      <c r="I33" s="18">
        <f>IF(A33="COMPOSICAO",VLOOKUP("TOTAL - "&amp;B33,COMPOSICAO_AUX_2!$A:$J,10,FALSE),VLOOKUP(B33,I!$A:$D,4,FALSE))</f>
        <v>1.86</v>
      </c>
      <c r="J33" s="67">
        <f t="shared" si="2"/>
        <v>1.86</v>
      </c>
      <c r="K33" s="68"/>
    </row>
    <row r="34" spans="1:13" ht="15" customHeight="1" x14ac:dyDescent="0.3">
      <c r="A34" s="17" t="s">
        <v>70</v>
      </c>
      <c r="B34" s="19">
        <v>37371</v>
      </c>
      <c r="C34" s="64" t="str">
        <f>VLOOKUP(B34,IF(A34="COMPOSICAO",S!$A:$D,I!$A:$D),2,FALSE)</f>
        <v>TRANSPORTE - HORISTA (COLETADO CAIXA)</v>
      </c>
      <c r="D34" s="64"/>
      <c r="E34" s="64"/>
      <c r="F34" s="64"/>
      <c r="G34" s="17" t="str">
        <f>VLOOKUP(B34,IF(A34="COMPOSICAO",S!$A:$D,I!$A:$D),3,FALSE)</f>
        <v>H</v>
      </c>
      <c r="H34" s="18">
        <v>1</v>
      </c>
      <c r="I34" s="18">
        <f>IF(A34="COMPOSICAO",VLOOKUP("TOTAL - "&amp;B34,COMPOSICAO_AUX_2!$A:$J,10,FALSE),VLOOKUP(B34,I!$A:$D,4,FALSE))</f>
        <v>0.7</v>
      </c>
      <c r="J34" s="67">
        <f t="shared" si="2"/>
        <v>0.7</v>
      </c>
      <c r="K34" s="68"/>
    </row>
    <row r="35" spans="1:13" ht="15" customHeight="1" x14ac:dyDescent="0.3">
      <c r="A35" s="17" t="s">
        <v>70</v>
      </c>
      <c r="B35" s="19">
        <v>37372</v>
      </c>
      <c r="C35" s="64" t="str">
        <f>VLOOKUP(B35,IF(A35="COMPOSICAO",S!$A:$D,I!$A:$D),2,FALSE)</f>
        <v>EXAMES - HORISTA (COLETADO CAIXA)</v>
      </c>
      <c r="D35" s="64"/>
      <c r="E35" s="64"/>
      <c r="F35" s="64"/>
      <c r="G35" s="17" t="str">
        <f>VLOOKUP(B35,IF(A35="COMPOSICAO",S!$A:$D,I!$A:$D),3,FALSE)</f>
        <v>H</v>
      </c>
      <c r="H35" s="18">
        <v>1</v>
      </c>
      <c r="I35" s="18">
        <f>IF(A35="COMPOSICAO",VLOOKUP("TOTAL - "&amp;B35,COMPOSICAO_AUX_2!$A:$J,10,FALSE),VLOOKUP(B35,I!$A:$D,4,FALSE))</f>
        <v>0.55000000000000004</v>
      </c>
      <c r="J35" s="67">
        <f t="shared" si="2"/>
        <v>0.55000000000000004</v>
      </c>
      <c r="K35" s="68"/>
    </row>
    <row r="36" spans="1:13" ht="15" customHeight="1" x14ac:dyDescent="0.3">
      <c r="A36" s="17" t="s">
        <v>70</v>
      </c>
      <c r="B36" s="19">
        <v>37373</v>
      </c>
      <c r="C36" s="64" t="str">
        <f>VLOOKUP(B36,IF(A36="COMPOSICAO",S!$A:$D,I!$A:$D),2,FALSE)</f>
        <v>SEGURO - HORISTA (COLETADO CAIXA)</v>
      </c>
      <c r="D36" s="64"/>
      <c r="E36" s="64"/>
      <c r="F36" s="64"/>
      <c r="G36" s="17" t="str">
        <f>VLOOKUP(B36,IF(A36="COMPOSICAO",S!$A:$D,I!$A:$D),3,FALSE)</f>
        <v>H</v>
      </c>
      <c r="H36" s="18">
        <v>1</v>
      </c>
      <c r="I36" s="18">
        <f>IF(A36="COMPOSICAO",VLOOKUP("TOTAL - "&amp;B36,COMPOSICAO_AUX_2!$A:$J,10,FALSE),VLOOKUP(B36,I!$A:$D,4,FALSE))</f>
        <v>0.06</v>
      </c>
      <c r="J36" s="67">
        <f t="shared" si="2"/>
        <v>0.06</v>
      </c>
      <c r="K36" s="68"/>
    </row>
    <row r="37" spans="1:13" ht="30" customHeight="1" x14ac:dyDescent="0.3">
      <c r="A37" s="17" t="s">
        <v>70</v>
      </c>
      <c r="B37" s="19">
        <v>43465</v>
      </c>
      <c r="C37" s="64" t="str">
        <f>VLOOKUP(B37,IF(A37="COMPOSICAO",S!$A:$D,I!$A:$D),2,FALSE)</f>
        <v>FERRAMENTAS - FAMILIA PEDREIRO - HORISTA (ENCARGOS COMPLEMENTARES - COLETADO CAIXA)</v>
      </c>
      <c r="D37" s="64"/>
      <c r="E37" s="64"/>
      <c r="F37" s="64"/>
      <c r="G37" s="17" t="str">
        <f>VLOOKUP(B37,IF(A37="COMPOSICAO",S!$A:$D,I!$A:$D),3,FALSE)</f>
        <v>H</v>
      </c>
      <c r="H37" s="18">
        <v>1</v>
      </c>
      <c r="I37" s="18">
        <f>IF(A37="COMPOSICAO",VLOOKUP("TOTAL - "&amp;B37,COMPOSICAO_AUX_2!$A:$J,10,FALSE),VLOOKUP(B37,I!$A:$D,4,FALSE))</f>
        <v>0.57999999999999996</v>
      </c>
      <c r="J37" s="67">
        <f t="shared" si="2"/>
        <v>0.57999999999999996</v>
      </c>
      <c r="K37" s="68"/>
    </row>
    <row r="38" spans="1:13" ht="30" customHeight="1" x14ac:dyDescent="0.3">
      <c r="A38" s="17" t="s">
        <v>70</v>
      </c>
      <c r="B38" s="19">
        <v>43489</v>
      </c>
      <c r="C38" s="64" t="str">
        <f>VLOOKUP(B38,IF(A38="COMPOSICAO",S!$A:$D,I!$A:$D),2,FALSE)</f>
        <v>EPI - FAMILIA PEDREIRO - HORISTA (ENCARGOS COMPLEMENTARES - COLETADO CAIXA)</v>
      </c>
      <c r="D38" s="64"/>
      <c r="E38" s="64"/>
      <c r="F38" s="64"/>
      <c r="G38" s="17" t="str">
        <f>VLOOKUP(B38,IF(A38="COMPOSICAO",S!$A:$D,I!$A:$D),3,FALSE)</f>
        <v>H</v>
      </c>
      <c r="H38" s="18">
        <v>1</v>
      </c>
      <c r="I38" s="18">
        <f>IF(A38="COMPOSICAO",VLOOKUP("TOTAL - "&amp;B38,COMPOSICAO_AUX_2!$A:$J,10,FALSE),VLOOKUP(B38,I!$A:$D,4,FALSE))</f>
        <v>0.95</v>
      </c>
      <c r="J38" s="67">
        <f t="shared" si="2"/>
        <v>0.95</v>
      </c>
      <c r="K38" s="68"/>
    </row>
    <row r="39" spans="1:13" ht="30" customHeight="1" x14ac:dyDescent="0.3">
      <c r="A39" s="17" t="s">
        <v>71</v>
      </c>
      <c r="B39" s="19">
        <v>95371</v>
      </c>
      <c r="C39" s="64" t="str">
        <f>VLOOKUP(B39,IF(A39="COMPOSICAO",S!$A:$D,I!$A:$D),2,FALSE)</f>
        <v>CURSO DE CAPACITAÇÃO PARA PEDREIRO (ENCARGOS COMPLEMENTARES) - HORISTA</v>
      </c>
      <c r="D39" s="64"/>
      <c r="E39" s="64"/>
      <c r="F39" s="64"/>
      <c r="G39" s="17" t="str">
        <f>VLOOKUP(B39,IF(A39="COMPOSICAO",S!$A:$D,I!$A:$D),3,FALSE)</f>
        <v>H</v>
      </c>
      <c r="H39" s="18">
        <v>1</v>
      </c>
      <c r="I39" s="18">
        <f>IF(A39="COMPOSICAO",VLOOKUP("TOTAL - "&amp;B39,COMPOSICAO_AUX_2!$A:$J,10,FALSE),VLOOKUP(B39,I!$A:$D,4,FALSE))</f>
        <v>0.22</v>
      </c>
      <c r="J39" s="67">
        <f t="shared" si="2"/>
        <v>0.22</v>
      </c>
      <c r="K39" s="68"/>
    </row>
    <row r="40" spans="1:13" ht="15" customHeight="1" x14ac:dyDescent="0.3">
      <c r="A40" s="22" t="s">
        <v>90</v>
      </c>
      <c r="B40" s="23"/>
      <c r="C40" s="23"/>
      <c r="D40" s="23"/>
      <c r="E40" s="23"/>
      <c r="F40" s="23"/>
      <c r="G40" s="24"/>
      <c r="H40" s="25"/>
      <c r="I40" s="26"/>
      <c r="J40" s="67">
        <f>SUM(J31:K39)</f>
        <v>19.849999999999994</v>
      </c>
      <c r="K40" s="68"/>
    </row>
    <row r="41" spans="1:13" ht="15" customHeight="1" x14ac:dyDescent="0.3">
      <c r="A41" s="3"/>
      <c r="B41" s="3"/>
      <c r="C41" s="3"/>
      <c r="D41" s="3"/>
      <c r="E41" s="3"/>
      <c r="F41" s="3"/>
      <c r="G41" s="3"/>
      <c r="H41" s="3"/>
      <c r="I41" s="3"/>
      <c r="J41" s="3"/>
      <c r="K41" s="3"/>
    </row>
    <row r="42" spans="1:13" ht="15" customHeight="1" x14ac:dyDescent="0.3">
      <c r="A42" s="10" t="s">
        <v>63</v>
      </c>
      <c r="B42" s="10" t="s">
        <v>24</v>
      </c>
      <c r="C42" s="75" t="s">
        <v>8</v>
      </c>
      <c r="D42" s="76"/>
      <c r="E42" s="76"/>
      <c r="F42" s="76"/>
      <c r="G42" s="6" t="s">
        <v>25</v>
      </c>
      <c r="H42" s="6" t="s">
        <v>64</v>
      </c>
      <c r="I42" s="6" t="s">
        <v>65</v>
      </c>
      <c r="J42" s="62" t="s">
        <v>10</v>
      </c>
      <c r="K42" s="63"/>
    </row>
    <row r="43" spans="1:13" ht="15" customHeight="1" x14ac:dyDescent="0.3">
      <c r="A43" s="6" t="s">
        <v>87</v>
      </c>
      <c r="B43" s="27">
        <v>88316</v>
      </c>
      <c r="C43" s="84" t="str">
        <f>VLOOKUP(B43,S!$A:$D,2,FALSE)</f>
        <v>SERVENTE COM ENCARGOS COMPLEMENTARES</v>
      </c>
      <c r="D43" s="84"/>
      <c r="E43" s="84"/>
      <c r="F43" s="85"/>
      <c r="G43" s="6" t="str">
        <f>VLOOKUP(B43,S!$A:$D,3,FALSE)</f>
        <v>H</v>
      </c>
      <c r="H43" s="20"/>
      <c r="I43" s="20">
        <f>J52</f>
        <v>15.35</v>
      </c>
      <c r="J43" s="70"/>
      <c r="K43" s="71"/>
      <c r="L43" s="20">
        <f>VLOOKUP(B43,S!$A:$D,4,FALSE)</f>
        <v>15.35</v>
      </c>
      <c r="M43" s="6" t="str">
        <f>IF(ROUND((L43-I43),2)=0,"OK, confere com a tabela.",IF(ROUND((L43-I43),2)&lt;0,"ACIMA ("&amp;TEXT(ROUND(I43*100/L43,4),"0,0000")&amp;" %) da tabela.","ABAIXO ("&amp;TEXT(ROUND(I43*100/L43,4),"0,0000")&amp;" %) da tabela."))</f>
        <v>OK, confere com a tabela.</v>
      </c>
    </row>
    <row r="44" spans="1:13" ht="15" customHeight="1" x14ac:dyDescent="0.3">
      <c r="A44" s="17" t="s">
        <v>70</v>
      </c>
      <c r="B44" s="19">
        <v>6111</v>
      </c>
      <c r="C44" s="64" t="str">
        <f>VLOOKUP(B44,IF(A44="COMPOSICAO",S!$A:$D,I!$A:$D),2,FALSE)</f>
        <v>SERVENTE DE OBRAS</v>
      </c>
      <c r="D44" s="64"/>
      <c r="E44" s="64"/>
      <c r="F44" s="64"/>
      <c r="G44" s="17" t="str">
        <f>VLOOKUP(B44,IF(A44="COMPOSICAO",S!$A:$D,I!$A:$D),3,FALSE)</f>
        <v>H</v>
      </c>
      <c r="H44" s="18">
        <v>1</v>
      </c>
      <c r="I44" s="18">
        <f>IF(A44="COMPOSICAO",VLOOKUP("TOTAL - "&amp;B44,COMPOSICAO_AUX_2!$A:$J,10,FALSE),VLOOKUP(B44,I!$A:$D,4,FALSE))</f>
        <v>10.6</v>
      </c>
      <c r="J44" s="67">
        <f t="shared" ref="J44:J51" si="3">TRUNC(H44*I44,2)</f>
        <v>10.6</v>
      </c>
      <c r="K44" s="68"/>
    </row>
    <row r="45" spans="1:13" ht="15" customHeight="1" x14ac:dyDescent="0.3">
      <c r="A45" s="17" t="s">
        <v>70</v>
      </c>
      <c r="B45" s="19">
        <v>37370</v>
      </c>
      <c r="C45" s="64" t="str">
        <f>VLOOKUP(B45,IF(A45="COMPOSICAO",S!$A:$D,I!$A:$D),2,FALSE)</f>
        <v>ALIMENTACAO - HORISTA (COLETADO CAIXA)</v>
      </c>
      <c r="D45" s="64"/>
      <c r="E45" s="64"/>
      <c r="F45" s="64"/>
      <c r="G45" s="17" t="str">
        <f>VLOOKUP(B45,IF(A45="COMPOSICAO",S!$A:$D,I!$A:$D),3,FALSE)</f>
        <v>H</v>
      </c>
      <c r="H45" s="18">
        <v>1</v>
      </c>
      <c r="I45" s="18">
        <f>IF(A45="COMPOSICAO",VLOOKUP("TOTAL - "&amp;B45,COMPOSICAO_AUX_2!$A:$J,10,FALSE),VLOOKUP(B45,I!$A:$D,4,FALSE))</f>
        <v>1.86</v>
      </c>
      <c r="J45" s="67">
        <f t="shared" si="3"/>
        <v>1.86</v>
      </c>
      <c r="K45" s="68"/>
    </row>
    <row r="46" spans="1:13" ht="15" customHeight="1" x14ac:dyDescent="0.3">
      <c r="A46" s="17" t="s">
        <v>70</v>
      </c>
      <c r="B46" s="19">
        <v>37371</v>
      </c>
      <c r="C46" s="64" t="str">
        <f>VLOOKUP(B46,IF(A46="COMPOSICAO",S!$A:$D,I!$A:$D),2,FALSE)</f>
        <v>TRANSPORTE - HORISTA (COLETADO CAIXA)</v>
      </c>
      <c r="D46" s="64"/>
      <c r="E46" s="64"/>
      <c r="F46" s="64"/>
      <c r="G46" s="17" t="str">
        <f>VLOOKUP(B46,IF(A46="COMPOSICAO",S!$A:$D,I!$A:$D),3,FALSE)</f>
        <v>H</v>
      </c>
      <c r="H46" s="18">
        <v>1</v>
      </c>
      <c r="I46" s="18">
        <f>IF(A46="COMPOSICAO",VLOOKUP("TOTAL - "&amp;B46,COMPOSICAO_AUX_2!$A:$J,10,FALSE),VLOOKUP(B46,I!$A:$D,4,FALSE))</f>
        <v>0.7</v>
      </c>
      <c r="J46" s="67">
        <f t="shared" si="3"/>
        <v>0.7</v>
      </c>
      <c r="K46" s="68"/>
    </row>
    <row r="47" spans="1:13" ht="15" customHeight="1" x14ac:dyDescent="0.3">
      <c r="A47" s="17" t="s">
        <v>70</v>
      </c>
      <c r="B47" s="19">
        <v>37372</v>
      </c>
      <c r="C47" s="64" t="str">
        <f>VLOOKUP(B47,IF(A47="COMPOSICAO",S!$A:$D,I!$A:$D),2,FALSE)</f>
        <v>EXAMES - HORISTA (COLETADO CAIXA)</v>
      </c>
      <c r="D47" s="64"/>
      <c r="E47" s="64"/>
      <c r="F47" s="64"/>
      <c r="G47" s="17" t="str">
        <f>VLOOKUP(B47,IF(A47="COMPOSICAO",S!$A:$D,I!$A:$D),3,FALSE)</f>
        <v>H</v>
      </c>
      <c r="H47" s="18">
        <v>1</v>
      </c>
      <c r="I47" s="18">
        <f>IF(A47="COMPOSICAO",VLOOKUP("TOTAL - "&amp;B47,COMPOSICAO_AUX_2!$A:$J,10,FALSE),VLOOKUP(B47,I!$A:$D,4,FALSE))</f>
        <v>0.55000000000000004</v>
      </c>
      <c r="J47" s="67">
        <f t="shared" si="3"/>
        <v>0.55000000000000004</v>
      </c>
      <c r="K47" s="68"/>
    </row>
    <row r="48" spans="1:13" ht="15" customHeight="1" x14ac:dyDescent="0.3">
      <c r="A48" s="17" t="s">
        <v>70</v>
      </c>
      <c r="B48" s="19">
        <v>37373</v>
      </c>
      <c r="C48" s="64" t="str">
        <f>VLOOKUP(B48,IF(A48="COMPOSICAO",S!$A:$D,I!$A:$D),2,FALSE)</f>
        <v>SEGURO - HORISTA (COLETADO CAIXA)</v>
      </c>
      <c r="D48" s="64"/>
      <c r="E48" s="64"/>
      <c r="F48" s="64"/>
      <c r="G48" s="17" t="str">
        <f>VLOOKUP(B48,IF(A48="COMPOSICAO",S!$A:$D,I!$A:$D),3,FALSE)</f>
        <v>H</v>
      </c>
      <c r="H48" s="18">
        <v>1</v>
      </c>
      <c r="I48" s="18">
        <f>IF(A48="COMPOSICAO",VLOOKUP("TOTAL - "&amp;B48,COMPOSICAO_AUX_2!$A:$J,10,FALSE),VLOOKUP(B48,I!$A:$D,4,FALSE))</f>
        <v>0.06</v>
      </c>
      <c r="J48" s="67">
        <f t="shared" si="3"/>
        <v>0.06</v>
      </c>
      <c r="K48" s="68"/>
    </row>
    <row r="49" spans="1:13" ht="30" customHeight="1" x14ac:dyDescent="0.3">
      <c r="A49" s="17" t="s">
        <v>70</v>
      </c>
      <c r="B49" s="19">
        <v>43467</v>
      </c>
      <c r="C49" s="64" t="str">
        <f>VLOOKUP(B49,IF(A49="COMPOSICAO",S!$A:$D,I!$A:$D),2,FALSE)</f>
        <v>FERRAMENTAS - FAMILIA SERVENTE - HORISTA (ENCARGOS COMPLEMENTARES - COLETADO CAIXA)</v>
      </c>
      <c r="D49" s="64"/>
      <c r="E49" s="64"/>
      <c r="F49" s="64"/>
      <c r="G49" s="17" t="str">
        <f>VLOOKUP(B49,IF(A49="COMPOSICAO",S!$A:$D,I!$A:$D),3,FALSE)</f>
        <v>H</v>
      </c>
      <c r="H49" s="18">
        <v>1</v>
      </c>
      <c r="I49" s="18">
        <f>IF(A49="COMPOSICAO",VLOOKUP("TOTAL - "&amp;B49,COMPOSICAO_AUX_2!$A:$J,10,FALSE),VLOOKUP(B49,I!$A:$D,4,FALSE))</f>
        <v>0.41</v>
      </c>
      <c r="J49" s="67">
        <f t="shared" si="3"/>
        <v>0.41</v>
      </c>
      <c r="K49" s="68"/>
    </row>
    <row r="50" spans="1:13" ht="30" customHeight="1" x14ac:dyDescent="0.3">
      <c r="A50" s="17" t="s">
        <v>70</v>
      </c>
      <c r="B50" s="19">
        <v>43491</v>
      </c>
      <c r="C50" s="64" t="str">
        <f>VLOOKUP(B50,IF(A50="COMPOSICAO",S!$A:$D,I!$A:$D),2,FALSE)</f>
        <v>EPI - FAMILIA SERVENTE - HORISTA (ENCARGOS COMPLEMENTARES - COLETADO CAIXA)</v>
      </c>
      <c r="D50" s="64"/>
      <c r="E50" s="64"/>
      <c r="F50" s="64"/>
      <c r="G50" s="17" t="str">
        <f>VLOOKUP(B50,IF(A50="COMPOSICAO",S!$A:$D,I!$A:$D),3,FALSE)</f>
        <v>H</v>
      </c>
      <c r="H50" s="18">
        <v>1</v>
      </c>
      <c r="I50" s="18">
        <f>IF(A50="COMPOSICAO",VLOOKUP("TOTAL - "&amp;B50,COMPOSICAO_AUX_2!$A:$J,10,FALSE),VLOOKUP(B50,I!$A:$D,4,FALSE))</f>
        <v>1.01</v>
      </c>
      <c r="J50" s="67">
        <f t="shared" si="3"/>
        <v>1.01</v>
      </c>
      <c r="K50" s="68"/>
    </row>
    <row r="51" spans="1:13" ht="30" customHeight="1" x14ac:dyDescent="0.3">
      <c r="A51" s="17" t="s">
        <v>71</v>
      </c>
      <c r="B51" s="19">
        <v>95378</v>
      </c>
      <c r="C51" s="64" t="str">
        <f>VLOOKUP(B51,IF(A51="COMPOSICAO",S!$A:$D,I!$A:$D),2,FALSE)</f>
        <v>CURSO DE CAPACITAÇÃO PARA SERVENTE (ENCARGOS COMPLEMENTARES) - HORISTA</v>
      </c>
      <c r="D51" s="64"/>
      <c r="E51" s="64"/>
      <c r="F51" s="64"/>
      <c r="G51" s="17" t="str">
        <f>VLOOKUP(B51,IF(A51="COMPOSICAO",S!$A:$D,I!$A:$D),3,FALSE)</f>
        <v>H</v>
      </c>
      <c r="H51" s="18">
        <v>1</v>
      </c>
      <c r="I51" s="18">
        <f>IF(A51="COMPOSICAO",VLOOKUP("TOTAL - "&amp;B51,COMPOSICAO_AUX_2!$A:$J,10,FALSE),VLOOKUP(B51,I!$A:$D,4,FALSE))</f>
        <v>0.16</v>
      </c>
      <c r="J51" s="67">
        <f t="shared" si="3"/>
        <v>0.16</v>
      </c>
      <c r="K51" s="68"/>
    </row>
    <row r="52" spans="1:13" ht="15" customHeight="1" x14ac:dyDescent="0.3">
      <c r="A52" s="22" t="s">
        <v>91</v>
      </c>
      <c r="B52" s="23"/>
      <c r="C52" s="23"/>
      <c r="D52" s="23"/>
      <c r="E52" s="23"/>
      <c r="F52" s="23"/>
      <c r="G52" s="24"/>
      <c r="H52" s="25"/>
      <c r="I52" s="26"/>
      <c r="J52" s="67">
        <f>SUM(J43:K51)</f>
        <v>15.35</v>
      </c>
      <c r="K52" s="68"/>
    </row>
    <row r="53" spans="1:13" ht="15" customHeight="1" x14ac:dyDescent="0.3">
      <c r="A53" s="3"/>
      <c r="B53" s="3"/>
      <c r="C53" s="3"/>
      <c r="D53" s="3"/>
      <c r="E53" s="3"/>
      <c r="F53" s="3"/>
      <c r="G53" s="3"/>
      <c r="H53" s="3"/>
      <c r="I53" s="3"/>
      <c r="J53" s="3"/>
      <c r="K53" s="3"/>
    </row>
    <row r="54" spans="1:13" ht="15" customHeight="1" x14ac:dyDescent="0.3">
      <c r="A54" s="10" t="s">
        <v>63</v>
      </c>
      <c r="B54" s="10" t="s">
        <v>24</v>
      </c>
      <c r="C54" s="75" t="s">
        <v>8</v>
      </c>
      <c r="D54" s="76"/>
      <c r="E54" s="76"/>
      <c r="F54" s="76"/>
      <c r="G54" s="6" t="s">
        <v>25</v>
      </c>
      <c r="H54" s="6" t="s">
        <v>64</v>
      </c>
      <c r="I54" s="6" t="s">
        <v>65</v>
      </c>
      <c r="J54" s="62" t="s">
        <v>10</v>
      </c>
      <c r="K54" s="63"/>
    </row>
    <row r="55" spans="1:13" ht="45" customHeight="1" x14ac:dyDescent="0.3">
      <c r="A55" s="6" t="s">
        <v>92</v>
      </c>
      <c r="B55" s="27">
        <v>97733</v>
      </c>
      <c r="C55" s="84" t="str">
        <f>VLOOKUP(B55,S!$A:$D,2,FALSE)</f>
        <v>PEÇA RETANGULAR PRÉ-MOLDADA, VOLUME DE CONCRETO DE ATÉ 10 LITROS, TAXA DE AÇO APROXIMADA DE 30KG/M³. AF_01/2018</v>
      </c>
      <c r="D55" s="84"/>
      <c r="E55" s="84"/>
      <c r="F55" s="85"/>
      <c r="G55" s="6" t="str">
        <f>VLOOKUP(B55,S!$A:$D,3,FALSE)</f>
        <v>M3</v>
      </c>
      <c r="H55" s="20"/>
      <c r="I55" s="20">
        <f>J69</f>
        <v>2636.74</v>
      </c>
      <c r="J55" s="70"/>
      <c r="K55" s="71"/>
      <c r="L55" s="20">
        <f>VLOOKUP(B55,S!$A:$D,4,FALSE)</f>
        <v>2636.74</v>
      </c>
      <c r="M55" s="6" t="str">
        <f>IF(ROUND((L55-I55),2)=0,"OK, confere com a tabela.",IF(ROUND((L55-I55),2)&lt;0,"ACIMA ("&amp;TEXT(ROUND(I55*100/L55,4),"0,0000")&amp;" %) da tabela.","ABAIXO ("&amp;TEXT(ROUND(I55*100/L55,4),"0,0000")&amp;" %) da tabela."))</f>
        <v>OK, confere com a tabela.</v>
      </c>
    </row>
    <row r="56" spans="1:13" ht="30" customHeight="1" x14ac:dyDescent="0.3">
      <c r="A56" s="17" t="s">
        <v>70</v>
      </c>
      <c r="B56" s="19">
        <v>1358</v>
      </c>
      <c r="C56" s="64" t="str">
        <f>VLOOKUP(B56,IF(A56="COMPOSICAO",S!$A:$D,I!$A:$D),2,FALSE)</f>
        <v>CHAPA DE MADEIRA COMPENSADA RESINADA PARA FORMA DE CONCRETO, DE *2,2 X 1,1* M, E = 17 MM</v>
      </c>
      <c r="D56" s="64"/>
      <c r="E56" s="64"/>
      <c r="F56" s="64"/>
      <c r="G56" s="17" t="str">
        <f>VLOOKUP(B56,IF(A56="COMPOSICAO",S!$A:$D,I!$A:$D),3,FALSE)</f>
        <v>M2</v>
      </c>
      <c r="H56" s="28">
        <v>2.9790000000000001</v>
      </c>
      <c r="I56" s="18">
        <f>IF(A56="COMPOSICAO",VLOOKUP("TOTAL - "&amp;B56,COMPOSICAO_AUX_2!$A:$J,10,FALSE),VLOOKUP(B56,I!$A:$D,4,FALSE))</f>
        <v>33.96</v>
      </c>
      <c r="J56" s="67">
        <f t="shared" ref="J56:J68" si="4">TRUNC(H56*I56,2)</f>
        <v>101.16</v>
      </c>
      <c r="K56" s="68"/>
    </row>
    <row r="57" spans="1:13" ht="30" customHeight="1" x14ac:dyDescent="0.3">
      <c r="A57" s="17" t="s">
        <v>70</v>
      </c>
      <c r="B57" s="19">
        <v>2692</v>
      </c>
      <c r="C57" s="64" t="str">
        <f>VLOOKUP(B57,IF(A57="COMPOSICAO",S!$A:$D,I!$A:$D),2,FALSE)</f>
        <v>DESMOLDANTE PROTETOR PARA FORMAS DE MADEIRA, DE BASE OLEOSA EMULSIONADA EM AGUA</v>
      </c>
      <c r="D57" s="64"/>
      <c r="E57" s="64"/>
      <c r="F57" s="64"/>
      <c r="G57" s="17" t="str">
        <f>VLOOKUP(B57,IF(A57="COMPOSICAO",S!$A:$D,I!$A:$D),3,FALSE)</f>
        <v>L</v>
      </c>
      <c r="H57" s="18">
        <v>0.12</v>
      </c>
      <c r="I57" s="18">
        <f>IF(A57="COMPOSICAO",VLOOKUP("TOTAL - "&amp;B57,COMPOSICAO_AUX_2!$A:$J,10,FALSE),VLOOKUP(B57,I!$A:$D,4,FALSE))</f>
        <v>6.19</v>
      </c>
      <c r="J57" s="67">
        <f t="shared" si="4"/>
        <v>0.74</v>
      </c>
      <c r="K57" s="68"/>
    </row>
    <row r="58" spans="1:13" ht="30" customHeight="1" x14ac:dyDescent="0.3">
      <c r="A58" s="17" t="s">
        <v>70</v>
      </c>
      <c r="B58" s="19">
        <v>20247</v>
      </c>
      <c r="C58" s="64" t="str">
        <f>VLOOKUP(B58,IF(A58="COMPOSICAO",S!$A:$D,I!$A:$D),2,FALSE)</f>
        <v>PREGO DE ACO POLIDO COM CABECA 15 X 15 (1 1/4 X 13)</v>
      </c>
      <c r="D58" s="64"/>
      <c r="E58" s="64"/>
      <c r="F58" s="64"/>
      <c r="G58" s="17" t="str">
        <f>VLOOKUP(B58,IF(A58="COMPOSICAO",S!$A:$D,I!$A:$D),3,FALSE)</f>
        <v>KG</v>
      </c>
      <c r="H58" s="29">
        <v>0.64449999999999996</v>
      </c>
      <c r="I58" s="18">
        <f>IF(A58="COMPOSICAO",VLOOKUP("TOTAL - "&amp;B58,COMPOSICAO_AUX_2!$A:$J,10,FALSE),VLOOKUP(B58,I!$A:$D,4,FALSE))</f>
        <v>18.579999999999998</v>
      </c>
      <c r="J58" s="67">
        <f t="shared" si="4"/>
        <v>11.97</v>
      </c>
      <c r="K58" s="68"/>
    </row>
    <row r="59" spans="1:13" ht="30" customHeight="1" x14ac:dyDescent="0.3">
      <c r="A59" s="17" t="s">
        <v>71</v>
      </c>
      <c r="B59" s="19">
        <v>88239</v>
      </c>
      <c r="C59" s="64" t="str">
        <f>VLOOKUP(B59,IF(A59="COMPOSICAO",S!$A:$D,I!$A:$D),2,FALSE)</f>
        <v>AJUDANTE DE CARPINTEIRO COM ENCARGOS COMPLEMENTARES</v>
      </c>
      <c r="D59" s="64"/>
      <c r="E59" s="64"/>
      <c r="F59" s="64"/>
      <c r="G59" s="17" t="str">
        <f>VLOOKUP(B59,IF(A59="COMPOSICAO",S!$A:$D,I!$A:$D),3,FALSE)</f>
        <v>H</v>
      </c>
      <c r="H59" s="29">
        <v>1.8137000000000001</v>
      </c>
      <c r="I59" s="18">
        <f>IF(A59="COMPOSICAO",VLOOKUP("TOTAL - "&amp;B59,COMPOSICAO_AUX_2!$A:$J,10,FALSE),VLOOKUP(B59,I!$A:$D,4,FALSE))</f>
        <v>16.470000000000002</v>
      </c>
      <c r="J59" s="67">
        <f t="shared" si="4"/>
        <v>29.87</v>
      </c>
      <c r="K59" s="68"/>
    </row>
    <row r="60" spans="1:13" ht="30" customHeight="1" x14ac:dyDescent="0.3">
      <c r="A60" s="17" t="s">
        <v>71</v>
      </c>
      <c r="B60" s="19">
        <v>88261</v>
      </c>
      <c r="C60" s="64" t="str">
        <f>VLOOKUP(B60,IF(A60="COMPOSICAO",S!$A:$D,I!$A:$D),2,FALSE)</f>
        <v>CARPINTEIRO DE ESQUADRIA COM ENCARGOS COMPLEMENTARES</v>
      </c>
      <c r="D60" s="64"/>
      <c r="E60" s="64"/>
      <c r="F60" s="64"/>
      <c r="G60" s="17" t="str">
        <f>VLOOKUP(B60,IF(A60="COMPOSICAO",S!$A:$D,I!$A:$D),3,FALSE)</f>
        <v>H</v>
      </c>
      <c r="H60" s="29">
        <v>9.0685000000000002</v>
      </c>
      <c r="I60" s="18">
        <f>IF(A60="COMPOSICAO",VLOOKUP("TOTAL - "&amp;B60,COMPOSICAO_AUX_2!$A:$J,10,FALSE),VLOOKUP(B60,I!$A:$D,4,FALSE))</f>
        <v>18.759999999999998</v>
      </c>
      <c r="J60" s="67">
        <f t="shared" si="4"/>
        <v>170.12</v>
      </c>
      <c r="K60" s="68"/>
    </row>
    <row r="61" spans="1:13" ht="15" customHeight="1" x14ac:dyDescent="0.3">
      <c r="A61" s="17" t="s">
        <v>71</v>
      </c>
      <c r="B61" s="19">
        <v>88309</v>
      </c>
      <c r="C61" s="64" t="str">
        <f>VLOOKUP(B61,IF(A61="COMPOSICAO",S!$A:$D,I!$A:$D),2,FALSE)</f>
        <v>PEDREIRO COM ENCARGOS COMPLEMENTARES</v>
      </c>
      <c r="D61" s="64"/>
      <c r="E61" s="64"/>
      <c r="F61" s="64"/>
      <c r="G61" s="17" t="str">
        <f>VLOOKUP(B61,IF(A61="COMPOSICAO",S!$A:$D,I!$A:$D),3,FALSE)</f>
        <v>H</v>
      </c>
      <c r="H61" s="28">
        <v>32.192999999999998</v>
      </c>
      <c r="I61" s="18">
        <f>IF(A61="COMPOSICAO",VLOOKUP("TOTAL - "&amp;B61,COMPOSICAO_AUX_2!$A:$J,10,FALSE),VLOOKUP(B61,I!$A:$D,4,FALSE))</f>
        <v>19.849999999999994</v>
      </c>
      <c r="J61" s="67">
        <f t="shared" si="4"/>
        <v>639.03</v>
      </c>
      <c r="K61" s="68"/>
    </row>
    <row r="62" spans="1:13" ht="15" customHeight="1" x14ac:dyDescent="0.3">
      <c r="A62" s="17" t="s">
        <v>71</v>
      </c>
      <c r="B62" s="19">
        <v>88316</v>
      </c>
      <c r="C62" s="64" t="str">
        <f>VLOOKUP(B62,IF(A62="COMPOSICAO",S!$A:$D,I!$A:$D),2,FALSE)</f>
        <v>SERVENTE COM ENCARGOS COMPLEMENTARES</v>
      </c>
      <c r="D62" s="64"/>
      <c r="E62" s="64"/>
      <c r="F62" s="64"/>
      <c r="G62" s="17" t="str">
        <f>VLOOKUP(B62,IF(A62="COMPOSICAO",S!$A:$D,I!$A:$D),3,FALSE)</f>
        <v>H</v>
      </c>
      <c r="H62" s="28">
        <v>32.192999999999998</v>
      </c>
      <c r="I62" s="18">
        <f>IF(A62="COMPOSICAO",VLOOKUP("TOTAL - "&amp;B62,COMPOSICAO_AUX_2!$A:$J,10,FALSE),VLOOKUP(B62,I!$A:$D,4,FALSE))</f>
        <v>15.35</v>
      </c>
      <c r="J62" s="67">
        <f t="shared" si="4"/>
        <v>494.16</v>
      </c>
      <c r="K62" s="68"/>
    </row>
    <row r="63" spans="1:13" ht="45" customHeight="1" x14ac:dyDescent="0.3">
      <c r="A63" s="17" t="s">
        <v>71</v>
      </c>
      <c r="B63" s="19">
        <v>90586</v>
      </c>
      <c r="C63" s="64" t="str">
        <f>VLOOKUP(B63,IF(A63="COMPOSICAO",S!$A:$D,I!$A:$D),2,FALSE)</f>
        <v>VIBRADOR DE IMERSÃO, DIÂMETRO DE PONTEIRA 45MM, MOTOR ELÉTRICO TRIFÁSICO POTÊNCIA DE 2 CV - CHP DIURNO. AF_06/2015</v>
      </c>
      <c r="D63" s="64"/>
      <c r="E63" s="64"/>
      <c r="F63" s="64"/>
      <c r="G63" s="17" t="str">
        <f>VLOOKUP(B63,IF(A63="COMPOSICAO",S!$A:$D,I!$A:$D),3,FALSE)</f>
        <v>CHP</v>
      </c>
      <c r="H63" s="28">
        <v>6.6319999999999997</v>
      </c>
      <c r="I63" s="18">
        <f>IF(A63="COMPOSICAO",VLOOKUP("TOTAL - "&amp;B63,COMPOSICAO_AUX_2!$A:$J,10,FALSE),VLOOKUP(B63,I!$A:$D,4,FALSE))</f>
        <v>1.63</v>
      </c>
      <c r="J63" s="67">
        <f t="shared" si="4"/>
        <v>10.81</v>
      </c>
      <c r="K63" s="68"/>
    </row>
    <row r="64" spans="1:13" ht="45" customHeight="1" x14ac:dyDescent="0.3">
      <c r="A64" s="17" t="s">
        <v>71</v>
      </c>
      <c r="B64" s="19">
        <v>90587</v>
      </c>
      <c r="C64" s="64" t="str">
        <f>VLOOKUP(B64,IF(A64="COMPOSICAO",S!$A:$D,I!$A:$D),2,FALSE)</f>
        <v>VIBRADOR DE IMERSÃO, DIÂMETRO DE PONTEIRA 45MM, MOTOR ELÉTRICO TRIFÁSICO POTÊNCIA DE 2 CV - CHI DIURNO. AF_06/2015</v>
      </c>
      <c r="D64" s="64"/>
      <c r="E64" s="64"/>
      <c r="F64" s="64"/>
      <c r="G64" s="17" t="str">
        <f>VLOOKUP(B64,IF(A64="COMPOSICAO",S!$A:$D,I!$A:$D),3,FALSE)</f>
        <v>CHI</v>
      </c>
      <c r="H64" s="29">
        <v>18.246200000000002</v>
      </c>
      <c r="I64" s="18">
        <f>IF(A64="COMPOSICAO",VLOOKUP("TOTAL - "&amp;B64,COMPOSICAO_AUX_2!$A:$J,10,FALSE),VLOOKUP(B64,I!$A:$D,4,FALSE))</f>
        <v>0.39999999999999997</v>
      </c>
      <c r="J64" s="67">
        <f t="shared" si="4"/>
        <v>7.29</v>
      </c>
      <c r="K64" s="68"/>
    </row>
    <row r="65" spans="1:13" ht="45" customHeight="1" x14ac:dyDescent="0.3">
      <c r="A65" s="17" t="s">
        <v>71</v>
      </c>
      <c r="B65" s="19">
        <v>91692</v>
      </c>
      <c r="C65" s="64" t="str">
        <f>VLOOKUP(B65,IF(A65="COMPOSICAO",S!$A:$D,I!$A:$D),2,FALSE)</f>
        <v>SERRA CIRCULAR DE BANCADA COM MOTOR ELÉTRICO POTÊNCIA DE 5HP, COM COIFA PARA DISCO 10" - CHP DIURNO. AF_08/2015</v>
      </c>
      <c r="D65" s="64"/>
      <c r="E65" s="64"/>
      <c r="F65" s="64"/>
      <c r="G65" s="17" t="str">
        <f>VLOOKUP(B65,IF(A65="COMPOSICAO",S!$A:$D,I!$A:$D),3,FALSE)</f>
        <v>CHP</v>
      </c>
      <c r="H65" s="29">
        <v>0.77359999999999995</v>
      </c>
      <c r="I65" s="18">
        <f>IF(A65="COMPOSICAO",VLOOKUP("TOTAL - "&amp;B65,COMPOSICAO_AUX_2!$A:$J,10,FALSE),VLOOKUP(B65,I!$A:$D,4,FALSE))</f>
        <v>26.959999999999997</v>
      </c>
      <c r="J65" s="67">
        <f t="shared" si="4"/>
        <v>20.85</v>
      </c>
      <c r="K65" s="68"/>
    </row>
    <row r="66" spans="1:13" ht="45" customHeight="1" x14ac:dyDescent="0.3">
      <c r="A66" s="17" t="s">
        <v>71</v>
      </c>
      <c r="B66" s="19">
        <v>91693</v>
      </c>
      <c r="C66" s="64" t="str">
        <f>VLOOKUP(B66,IF(A66="COMPOSICAO",S!$A:$D,I!$A:$D),2,FALSE)</f>
        <v>SERRA CIRCULAR DE BANCADA COM MOTOR ELÉTRICO POTÊNCIA DE 5HP, COM COIFA PARA DISCO 10" - CHI DIURNO. AF_08/2015</v>
      </c>
      <c r="D66" s="64"/>
      <c r="E66" s="64"/>
      <c r="F66" s="64"/>
      <c r="G66" s="17" t="str">
        <f>VLOOKUP(B66,IF(A66="COMPOSICAO",S!$A:$D,I!$A:$D),3,FALSE)</f>
        <v>CHI</v>
      </c>
      <c r="H66" s="29">
        <v>1.0401</v>
      </c>
      <c r="I66" s="18">
        <f>IF(A66="COMPOSICAO",VLOOKUP("TOTAL - "&amp;B66,COMPOSICAO_AUX_2!$A:$J,10,FALSE),VLOOKUP(B66,I!$A:$D,4,FALSE))</f>
        <v>24.5</v>
      </c>
      <c r="J66" s="67">
        <f t="shared" si="4"/>
        <v>25.48</v>
      </c>
      <c r="K66" s="68"/>
    </row>
    <row r="67" spans="1:13" ht="60" customHeight="1" x14ac:dyDescent="0.3">
      <c r="A67" s="17" t="s">
        <v>71</v>
      </c>
      <c r="B67" s="19">
        <v>92783</v>
      </c>
      <c r="C67" s="64" t="str">
        <f>VLOOKUP(B67,IF(A67="COMPOSICAO",S!$A:$D,I!$A:$D),2,FALSE)</f>
        <v>ARMAÇÃO DE LAJE DE UMA ESTRUTURA CONVENCIONAL DE CONCRETO ARMADO EM UMA EDIFICAÇÃO TÉRREA OU SOBRADO UTILIZANDO AÇO CA-60 DE 4,2 MM - MONTAGEM. AF_12/2015</v>
      </c>
      <c r="D67" s="64"/>
      <c r="E67" s="64"/>
      <c r="F67" s="64"/>
      <c r="G67" s="17" t="str">
        <f>VLOOKUP(B67,IF(A67="COMPOSICAO",S!$A:$D,I!$A:$D),3,FALSE)</f>
        <v>KG</v>
      </c>
      <c r="H67" s="29">
        <v>42.646299999999997</v>
      </c>
      <c r="I67" s="18">
        <f>IF(A67="COMPOSICAO",VLOOKUP("TOTAL - "&amp;B67,COMPOSICAO_AUX_2!$A:$J,10,FALSE),VLOOKUP(B67,I!$A:$D,4,FALSE))</f>
        <v>15.32</v>
      </c>
      <c r="J67" s="67">
        <f t="shared" si="4"/>
        <v>653.34</v>
      </c>
      <c r="K67" s="68"/>
    </row>
    <row r="68" spans="1:13" ht="45" customHeight="1" x14ac:dyDescent="0.3">
      <c r="A68" s="17" t="s">
        <v>71</v>
      </c>
      <c r="B68" s="19">
        <v>94971</v>
      </c>
      <c r="C68" s="64" t="str">
        <f>VLOOKUP(B68,IF(A68="COMPOSICAO",S!$A:$D,I!$A:$D),2,FALSE)</f>
        <v>CONCRETO FCK = 25MPA, TRAÇO 1:2,3:2,7 (CIMENTO/ AREIA MÉDIA/ BRITA 1)  - PREPARO MECÂNICO COM BETONEIRA 600 L. AF_07/2016</v>
      </c>
      <c r="D68" s="64"/>
      <c r="E68" s="64"/>
      <c r="F68" s="64"/>
      <c r="G68" s="17" t="str">
        <f>VLOOKUP(B68,IF(A68="COMPOSICAO",S!$A:$D,I!$A:$D),3,FALSE)</f>
        <v>M3</v>
      </c>
      <c r="H68" s="18">
        <v>1.2</v>
      </c>
      <c r="I68" s="18">
        <f>IF(A68="COMPOSICAO",VLOOKUP("TOTAL - "&amp;B68,COMPOSICAO_AUX_2!$A:$J,10,FALSE),VLOOKUP(B68,I!$A:$D,4,FALSE))</f>
        <v>393.27</v>
      </c>
      <c r="J68" s="67">
        <f t="shared" si="4"/>
        <v>471.92</v>
      </c>
      <c r="K68" s="68"/>
    </row>
    <row r="69" spans="1:13" ht="15" customHeight="1" x14ac:dyDescent="0.3">
      <c r="A69" s="22" t="s">
        <v>93</v>
      </c>
      <c r="B69" s="23"/>
      <c r="C69" s="23"/>
      <c r="D69" s="23"/>
      <c r="E69" s="23"/>
      <c r="F69" s="23"/>
      <c r="G69" s="24"/>
      <c r="H69" s="25"/>
      <c r="I69" s="26"/>
      <c r="J69" s="67">
        <f>SUM(J55:K68)</f>
        <v>2636.74</v>
      </c>
      <c r="K69" s="68"/>
    </row>
    <row r="70" spans="1:13" ht="15" customHeight="1" x14ac:dyDescent="0.3">
      <c r="A70" s="3"/>
      <c r="B70" s="3"/>
      <c r="C70" s="3"/>
      <c r="D70" s="3"/>
      <c r="E70" s="3"/>
      <c r="F70" s="3"/>
      <c r="G70" s="3"/>
      <c r="H70" s="3"/>
      <c r="I70" s="3"/>
      <c r="J70" s="3"/>
      <c r="K70" s="3"/>
    </row>
    <row r="71" spans="1:13" ht="15" customHeight="1" x14ac:dyDescent="0.3">
      <c r="A71" s="10" t="s">
        <v>63</v>
      </c>
      <c r="B71" s="10" t="s">
        <v>24</v>
      </c>
      <c r="C71" s="75" t="s">
        <v>8</v>
      </c>
      <c r="D71" s="76"/>
      <c r="E71" s="76"/>
      <c r="F71" s="76"/>
      <c r="G71" s="6" t="s">
        <v>25</v>
      </c>
      <c r="H71" s="6" t="s">
        <v>64</v>
      </c>
      <c r="I71" s="6" t="s">
        <v>65</v>
      </c>
      <c r="J71" s="62" t="s">
        <v>10</v>
      </c>
      <c r="K71" s="63"/>
    </row>
    <row r="72" spans="1:13" ht="45" customHeight="1" x14ac:dyDescent="0.3">
      <c r="A72" s="6" t="s">
        <v>94</v>
      </c>
      <c r="B72" s="27">
        <v>101619</v>
      </c>
      <c r="C72" s="84" t="str">
        <f>VLOOKUP(B72,S!$A:$D,2,FALSE)</f>
        <v>PREPARO DE FUNDO DE VALA COM LARGURA MENOR QUE 1,5 M, COM CAMADA DE BRITA, LANÇAMENTO MANUAL. AF_08/2020</v>
      </c>
      <c r="D72" s="84"/>
      <c r="E72" s="84"/>
      <c r="F72" s="85"/>
      <c r="G72" s="6" t="str">
        <f>VLOOKUP(B72,S!$A:$D,3,FALSE)</f>
        <v>M3</v>
      </c>
      <c r="H72" s="20"/>
      <c r="I72" s="20">
        <f>J78</f>
        <v>207.75</v>
      </c>
      <c r="J72" s="70"/>
      <c r="K72" s="71"/>
      <c r="L72" s="20">
        <f>VLOOKUP(B72,S!$A:$D,4,FALSE)</f>
        <v>207.75</v>
      </c>
      <c r="M72" s="6" t="str">
        <f>IF(ROUND((L72-I72),2)=0,"OK, confere com a tabela.",IF(ROUND((L72-I72),2)&lt;0,"ACIMA ("&amp;TEXT(ROUND(I72*100/L72,4),"0,0000")&amp;" %) da tabela.","ABAIXO ("&amp;TEXT(ROUND(I72*100/L72,4),"0,0000")&amp;" %) da tabela."))</f>
        <v>OK, confere com a tabela.</v>
      </c>
    </row>
    <row r="73" spans="1:13" ht="30" customHeight="1" x14ac:dyDescent="0.3">
      <c r="A73" s="17" t="s">
        <v>70</v>
      </c>
      <c r="B73" s="19">
        <v>4720</v>
      </c>
      <c r="C73" s="64" t="str">
        <f>VLOOKUP(B73,IF(A73="COMPOSICAO",S!$A:$D,I!$A:$D),2,FALSE)</f>
        <v>PEDRA BRITADA N. 0, OU PEDRISCO (4,8 A 9,5 MM) POSTO PEDREIRA/FORNECEDOR, SEM FRETE</v>
      </c>
      <c r="D73" s="64"/>
      <c r="E73" s="64"/>
      <c r="F73" s="64"/>
      <c r="G73" s="17" t="str">
        <f>VLOOKUP(B73,IF(A73="COMPOSICAO",S!$A:$D,I!$A:$D),3,FALSE)</f>
        <v>M3</v>
      </c>
      <c r="H73" s="18">
        <v>1.1000000000000001</v>
      </c>
      <c r="I73" s="18">
        <f>IF(A73="COMPOSICAO",VLOOKUP("TOTAL - "&amp;B73,COMPOSICAO_AUX_2!$A:$J,10,FALSE),VLOOKUP(B73,I!$A:$D,4,FALSE))</f>
        <v>88.12</v>
      </c>
      <c r="J73" s="67">
        <f>TRUNC(H73*I73,2)</f>
        <v>96.93</v>
      </c>
      <c r="K73" s="68"/>
    </row>
    <row r="74" spans="1:13" ht="15" customHeight="1" x14ac:dyDescent="0.3">
      <c r="A74" s="17" t="s">
        <v>71</v>
      </c>
      <c r="B74" s="19">
        <v>88309</v>
      </c>
      <c r="C74" s="64" t="str">
        <f>VLOOKUP(B74,IF(A74="COMPOSICAO",S!$A:$D,I!$A:$D),2,FALSE)</f>
        <v>PEDREIRO COM ENCARGOS COMPLEMENTARES</v>
      </c>
      <c r="D74" s="64"/>
      <c r="E74" s="64"/>
      <c r="F74" s="64"/>
      <c r="G74" s="17" t="str">
        <f>VLOOKUP(B74,IF(A74="COMPOSICAO",S!$A:$D,I!$A:$D),3,FALSE)</f>
        <v>H</v>
      </c>
      <c r="H74" s="29">
        <v>2.4937999999999998</v>
      </c>
      <c r="I74" s="18">
        <f>IF(A74="COMPOSICAO",VLOOKUP("TOTAL - "&amp;B74,COMPOSICAO_AUX_2!$A:$J,10,FALSE),VLOOKUP(B74,I!$A:$D,4,FALSE))</f>
        <v>19.849999999999994</v>
      </c>
      <c r="J74" s="67">
        <f>TRUNC(H74*I74,2)</f>
        <v>49.5</v>
      </c>
      <c r="K74" s="68"/>
    </row>
    <row r="75" spans="1:13" ht="15" customHeight="1" x14ac:dyDescent="0.3">
      <c r="A75" s="17" t="s">
        <v>71</v>
      </c>
      <c r="B75" s="19">
        <v>88316</v>
      </c>
      <c r="C75" s="64" t="str">
        <f>VLOOKUP(B75,IF(A75="COMPOSICAO",S!$A:$D,I!$A:$D),2,FALSE)</f>
        <v>SERVENTE COM ENCARGOS COMPLEMENTARES</v>
      </c>
      <c r="D75" s="64"/>
      <c r="E75" s="64"/>
      <c r="F75" s="64"/>
      <c r="G75" s="17" t="str">
        <f>VLOOKUP(B75,IF(A75="COMPOSICAO",S!$A:$D,I!$A:$D),3,FALSE)</f>
        <v>H</v>
      </c>
      <c r="H75" s="29">
        <v>3.7406999999999999</v>
      </c>
      <c r="I75" s="18">
        <f>IF(A75="COMPOSICAO",VLOOKUP("TOTAL - "&amp;B75,COMPOSICAO_AUX_2!$A:$J,10,FALSE),VLOOKUP(B75,I!$A:$D,4,FALSE))</f>
        <v>15.35</v>
      </c>
      <c r="J75" s="67">
        <f>TRUNC(H75*I75,2)</f>
        <v>57.41</v>
      </c>
      <c r="K75" s="68"/>
    </row>
    <row r="76" spans="1:13" ht="45" customHeight="1" x14ac:dyDescent="0.3">
      <c r="A76" s="17" t="s">
        <v>71</v>
      </c>
      <c r="B76" s="19">
        <v>91533</v>
      </c>
      <c r="C76" s="64" t="str">
        <f>VLOOKUP(B76,IF(A76="COMPOSICAO",S!$A:$D,I!$A:$D),2,FALSE)</f>
        <v>COMPACTADOR DE SOLOS DE PERCUSSÃO (SOQUETE) COM MOTOR A GASOLINA 4 TEMPOS, POTÊNCIA 4 CV - CHP DIURNO. AF_08/2015</v>
      </c>
      <c r="D76" s="64"/>
      <c r="E76" s="64"/>
      <c r="F76" s="64"/>
      <c r="G76" s="17" t="str">
        <f>VLOOKUP(B76,IF(A76="COMPOSICAO",S!$A:$D,I!$A:$D),3,FALSE)</f>
        <v>CHP</v>
      </c>
      <c r="H76" s="29">
        <v>7.1800000000000003E-2</v>
      </c>
      <c r="I76" s="18">
        <f>IF(A76="COMPOSICAO",VLOOKUP("TOTAL - "&amp;B76,COMPOSICAO_AUX_2!$A:$J,10,FALSE),VLOOKUP(B76,I!$A:$D,4,FALSE))</f>
        <v>31.289999999999996</v>
      </c>
      <c r="J76" s="67">
        <f>TRUNC(H76*I76,2)</f>
        <v>2.2400000000000002</v>
      </c>
      <c r="K76" s="68"/>
    </row>
    <row r="77" spans="1:13" ht="45" customHeight="1" x14ac:dyDescent="0.3">
      <c r="A77" s="17" t="s">
        <v>71</v>
      </c>
      <c r="B77" s="19">
        <v>91534</v>
      </c>
      <c r="C77" s="64" t="str">
        <f>VLOOKUP(B77,IF(A77="COMPOSICAO",S!$A:$D,I!$A:$D),2,FALSE)</f>
        <v>COMPACTADOR DE SOLOS DE PERCUSSÃO (SOQUETE) COM MOTOR A GASOLINA 4 TEMPOS, POTÊNCIA 4 CV - CHI DIURNO. AF_08/2015</v>
      </c>
      <c r="D77" s="64"/>
      <c r="E77" s="64"/>
      <c r="F77" s="64"/>
      <c r="G77" s="17" t="str">
        <f>VLOOKUP(B77,IF(A77="COMPOSICAO",S!$A:$D,I!$A:$D),3,FALSE)</f>
        <v>CHI</v>
      </c>
      <c r="H77" s="29">
        <v>6.6600000000000006E-2</v>
      </c>
      <c r="I77" s="18">
        <f>IF(A77="COMPOSICAO",VLOOKUP("TOTAL - "&amp;B77,COMPOSICAO_AUX_2!$A:$J,10,FALSE),VLOOKUP(B77,I!$A:$D,4,FALSE))</f>
        <v>25.189999999999998</v>
      </c>
      <c r="J77" s="67">
        <f>TRUNC(H77*I77,2)</f>
        <v>1.67</v>
      </c>
      <c r="K77" s="68"/>
    </row>
    <row r="78" spans="1:13" ht="15" customHeight="1" x14ac:dyDescent="0.3">
      <c r="A78" s="22" t="s">
        <v>95</v>
      </c>
      <c r="B78" s="23"/>
      <c r="C78" s="23"/>
      <c r="D78" s="23"/>
      <c r="E78" s="23"/>
      <c r="F78" s="23"/>
      <c r="G78" s="24"/>
      <c r="H78" s="25"/>
      <c r="I78" s="26"/>
      <c r="J78" s="67">
        <f>SUM(J72:K77)</f>
        <v>207.75</v>
      </c>
      <c r="K78" s="68"/>
    </row>
    <row r="79" spans="1:13" ht="15" customHeight="1" x14ac:dyDescent="0.3">
      <c r="A79" s="3"/>
      <c r="B79" s="3"/>
      <c r="C79" s="3"/>
      <c r="D79" s="3"/>
      <c r="E79" s="3"/>
      <c r="F79" s="3"/>
      <c r="G79" s="3"/>
      <c r="H79" s="3"/>
      <c r="I79" s="3"/>
      <c r="J79" s="3"/>
      <c r="K79" s="3"/>
    </row>
    <row r="80" spans="1:13" ht="15" customHeight="1" x14ac:dyDescent="0.3">
      <c r="A80" s="10" t="s">
        <v>63</v>
      </c>
      <c r="B80" s="10" t="s">
        <v>24</v>
      </c>
      <c r="C80" s="75" t="s">
        <v>8</v>
      </c>
      <c r="D80" s="76"/>
      <c r="E80" s="76"/>
      <c r="F80" s="76"/>
      <c r="G80" s="6" t="s">
        <v>25</v>
      </c>
      <c r="H80" s="6" t="s">
        <v>64</v>
      </c>
      <c r="I80" s="6" t="s">
        <v>65</v>
      </c>
      <c r="J80" s="62" t="s">
        <v>10</v>
      </c>
      <c r="K80" s="63"/>
    </row>
    <row r="81" spans="1:13" ht="30" customHeight="1" x14ac:dyDescent="0.3">
      <c r="A81" s="6" t="s">
        <v>94</v>
      </c>
      <c r="B81" s="27">
        <v>93358</v>
      </c>
      <c r="C81" s="84" t="str">
        <f>VLOOKUP(B81,S!$A:$D,2,FALSE)</f>
        <v>ESCAVAÇÃO MANUAL DE VALA COM PROFUNDIDADE MENOR OU IGUAL A 1,30 M. AF_02/2021</v>
      </c>
      <c r="D81" s="84"/>
      <c r="E81" s="84"/>
      <c r="F81" s="85"/>
      <c r="G81" s="6" t="str">
        <f>VLOOKUP(B81,S!$A:$D,3,FALSE)</f>
        <v>M3</v>
      </c>
      <c r="H81" s="20"/>
      <c r="I81" s="20">
        <f>J83</f>
        <v>60.72</v>
      </c>
      <c r="J81" s="70"/>
      <c r="K81" s="71"/>
      <c r="L81" s="20">
        <f>VLOOKUP(B81,S!$A:$D,4,FALSE)</f>
        <v>60.72</v>
      </c>
      <c r="M81" s="6" t="str">
        <f>IF(ROUND((L81-I81),2)=0,"OK, confere com a tabela.",IF(ROUND((L81-I81),2)&lt;0,"ACIMA ("&amp;TEXT(ROUND(I81*100/L81,4),"0,0000")&amp;" %) da tabela.","ABAIXO ("&amp;TEXT(ROUND(I81*100/L81,4),"0,0000")&amp;" %) da tabela."))</f>
        <v>OK, confere com a tabela.</v>
      </c>
    </row>
    <row r="82" spans="1:13" ht="15" customHeight="1" x14ac:dyDescent="0.3">
      <c r="A82" s="17" t="s">
        <v>71</v>
      </c>
      <c r="B82" s="19">
        <v>88316</v>
      </c>
      <c r="C82" s="64" t="str">
        <f>VLOOKUP(B82,IF(A82="COMPOSICAO",S!$A:$D,I!$A:$D),2,FALSE)</f>
        <v>SERVENTE COM ENCARGOS COMPLEMENTARES</v>
      </c>
      <c r="D82" s="64"/>
      <c r="E82" s="64"/>
      <c r="F82" s="64"/>
      <c r="G82" s="17" t="str">
        <f>VLOOKUP(B82,IF(A82="COMPOSICAO",S!$A:$D,I!$A:$D),3,FALSE)</f>
        <v>H</v>
      </c>
      <c r="H82" s="28">
        <v>3.956</v>
      </c>
      <c r="I82" s="18">
        <f>IF(A82="COMPOSICAO",VLOOKUP("TOTAL - "&amp;B82,COMPOSICAO_AUX_2!$A:$J,10,FALSE),VLOOKUP(B82,I!$A:$D,4,FALSE))</f>
        <v>15.35</v>
      </c>
      <c r="J82" s="67">
        <f>TRUNC(H82*I82,2)</f>
        <v>60.72</v>
      </c>
      <c r="K82" s="68"/>
    </row>
    <row r="83" spans="1:13" ht="15" customHeight="1" x14ac:dyDescent="0.3">
      <c r="A83" s="22" t="s">
        <v>96</v>
      </c>
      <c r="B83" s="23"/>
      <c r="C83" s="23"/>
      <c r="D83" s="23"/>
      <c r="E83" s="23"/>
      <c r="F83" s="23"/>
      <c r="G83" s="24"/>
      <c r="H83" s="25"/>
      <c r="I83" s="26"/>
      <c r="J83" s="67">
        <f>SUM(J81:K82)</f>
        <v>60.72</v>
      </c>
      <c r="K83" s="68"/>
    </row>
    <row r="84" spans="1:13" ht="15" customHeight="1" x14ac:dyDescent="0.3">
      <c r="A84" s="3"/>
      <c r="B84" s="3"/>
      <c r="C84" s="3"/>
      <c r="D84" s="3"/>
      <c r="E84" s="3"/>
      <c r="F84" s="3"/>
      <c r="G84" s="3"/>
      <c r="H84" s="3"/>
      <c r="I84" s="3"/>
      <c r="J84" s="3"/>
      <c r="K84" s="3"/>
    </row>
    <row r="85" spans="1:13" ht="15" customHeight="1" x14ac:dyDescent="0.3">
      <c r="A85" s="10" t="s">
        <v>63</v>
      </c>
      <c r="B85" s="10" t="s">
        <v>24</v>
      </c>
      <c r="C85" s="75" t="s">
        <v>8</v>
      </c>
      <c r="D85" s="76"/>
      <c r="E85" s="76"/>
      <c r="F85" s="76"/>
      <c r="G85" s="6" t="s">
        <v>25</v>
      </c>
      <c r="H85" s="6" t="s">
        <v>64</v>
      </c>
      <c r="I85" s="6" t="s">
        <v>65</v>
      </c>
      <c r="J85" s="62" t="s">
        <v>10</v>
      </c>
      <c r="K85" s="63"/>
    </row>
    <row r="86" spans="1:13" ht="75" customHeight="1" x14ac:dyDescent="0.3">
      <c r="A86" s="6" t="s">
        <v>97</v>
      </c>
      <c r="B86" s="27">
        <v>91170</v>
      </c>
      <c r="C86" s="84" t="str">
        <f>VLOOKUP(B86,S!$A:$D,2,FALSE)</f>
        <v>FIXAÇÃO DE TUBOS HORIZONTAIS DE PVC, CPVC OU COBRE DIÂMETROS MENORES OU IGUAIS A 40 MM OU ELETROCALHAS ATÉ 150MM DE LARGURA, COM ABRAÇADEIRA METÁLICA RÍGIDA TIPO D 1/2, FIXADA EM PERFILADO EM LAJE. AF_05/2015</v>
      </c>
      <c r="D86" s="84"/>
      <c r="E86" s="84"/>
      <c r="F86" s="85"/>
      <c r="G86" s="6" t="str">
        <f>VLOOKUP(B86,S!$A:$D,3,FALSE)</f>
        <v>M</v>
      </c>
      <c r="H86" s="20"/>
      <c r="I86" s="20">
        <f>J90</f>
        <v>2.44</v>
      </c>
      <c r="J86" s="70"/>
      <c r="K86" s="71"/>
      <c r="L86" s="20">
        <f>VLOOKUP(B86,S!$A:$D,4,FALSE)</f>
        <v>2.44</v>
      </c>
      <c r="M86" s="6" t="str">
        <f>IF(ROUND((L86-I86),2)=0,"OK, confere com a tabela.",IF(ROUND((L86-I86),2)&lt;0,"ACIMA ("&amp;TEXT(ROUND(I86*100/L86,4),"0,0000")&amp;" %) da tabela.","ABAIXO ("&amp;TEXT(ROUND(I86*100/L86,4),"0,0000")&amp;" %) da tabela."))</f>
        <v>OK, confere com a tabela.</v>
      </c>
    </row>
    <row r="87" spans="1:13" ht="30" customHeight="1" x14ac:dyDescent="0.3">
      <c r="A87" s="17" t="s">
        <v>70</v>
      </c>
      <c r="B87" s="19">
        <v>392</v>
      </c>
      <c r="C87" s="64" t="str">
        <f>VLOOKUP(B87,IF(A87="COMPOSICAO",S!$A:$D,I!$A:$D),2,FALSE)</f>
        <v>ABRACADEIRA EM ACO PARA AMARRACAO DE ELETRODUTOS, TIPO D, COM 1/2" E PARAFUSO DE FIXACAO</v>
      </c>
      <c r="D87" s="64"/>
      <c r="E87" s="64"/>
      <c r="F87" s="64"/>
      <c r="G87" s="17" t="str">
        <f>VLOOKUP(B87,IF(A87="COMPOSICAO",S!$A:$D,I!$A:$D),3,FALSE)</f>
        <v>UN</v>
      </c>
      <c r="H87" s="18">
        <v>0.65</v>
      </c>
      <c r="I87" s="18">
        <f>IF(A87="COMPOSICAO",VLOOKUP("TOTAL - "&amp;B87,COMPOSICAO_AUX_2!$A:$J,10,FALSE),VLOOKUP(B87,I!$A:$D,4,FALSE))</f>
        <v>1.5</v>
      </c>
      <c r="J87" s="67">
        <f>TRUNC(H87*I87,2)</f>
        <v>0.97</v>
      </c>
      <c r="K87" s="68"/>
    </row>
    <row r="88" spans="1:13" ht="30" customHeight="1" x14ac:dyDescent="0.3">
      <c r="A88" s="17" t="s">
        <v>71</v>
      </c>
      <c r="B88" s="19">
        <v>88248</v>
      </c>
      <c r="C88" s="64" t="str">
        <f>VLOOKUP(B88,IF(A88="COMPOSICAO",S!$A:$D,I!$A:$D),2,FALSE)</f>
        <v>AUXILIAR DE ENCANADOR OU BOMBEIRO HIDRÁULICO COM ENCARGOS COMPLEMENTARES</v>
      </c>
      <c r="D88" s="64"/>
      <c r="E88" s="64"/>
      <c r="F88" s="64"/>
      <c r="G88" s="17" t="str">
        <f>VLOOKUP(B88,IF(A88="COMPOSICAO",S!$A:$D,I!$A:$D),3,FALSE)</f>
        <v>H</v>
      </c>
      <c r="H88" s="18">
        <v>0.01</v>
      </c>
      <c r="I88" s="18">
        <f>IF(A88="COMPOSICAO",VLOOKUP("TOTAL - "&amp;B88,COMPOSICAO_AUX_2!$A:$J,10,FALSE),VLOOKUP(B88,I!$A:$D,4,FALSE))</f>
        <v>14.96</v>
      </c>
      <c r="J88" s="67">
        <f>TRUNC(H88*I88,2)</f>
        <v>0.14000000000000001</v>
      </c>
      <c r="K88" s="68"/>
    </row>
    <row r="89" spans="1:13" ht="30" customHeight="1" x14ac:dyDescent="0.3">
      <c r="A89" s="17" t="s">
        <v>71</v>
      </c>
      <c r="B89" s="19">
        <v>88267</v>
      </c>
      <c r="C89" s="64" t="str">
        <f>VLOOKUP(B89,IF(A89="COMPOSICAO",S!$A:$D,I!$A:$D),2,FALSE)</f>
        <v>ENCANADOR OU BOMBEIRO HIDRÁULICO COM ENCARGOS COMPLEMENTARES</v>
      </c>
      <c r="D89" s="64"/>
      <c r="E89" s="64"/>
      <c r="F89" s="64"/>
      <c r="G89" s="17" t="str">
        <f>VLOOKUP(B89,IF(A89="COMPOSICAO",S!$A:$D,I!$A:$D),3,FALSE)</f>
        <v>H</v>
      </c>
      <c r="H89" s="28">
        <v>6.9000000000000006E-2</v>
      </c>
      <c r="I89" s="18">
        <f>IF(A89="COMPOSICAO",VLOOKUP("TOTAL - "&amp;B89,COMPOSICAO_AUX_2!$A:$J,10,FALSE),VLOOKUP(B89,I!$A:$D,4,FALSE))</f>
        <v>19.37</v>
      </c>
      <c r="J89" s="67">
        <f>TRUNC(H89*I89,2)</f>
        <v>1.33</v>
      </c>
      <c r="K89" s="68"/>
    </row>
    <row r="90" spans="1:13" ht="15" customHeight="1" x14ac:dyDescent="0.3">
      <c r="A90" s="22" t="s">
        <v>98</v>
      </c>
      <c r="B90" s="23"/>
      <c r="C90" s="23"/>
      <c r="D90" s="23"/>
      <c r="E90" s="23"/>
      <c r="F90" s="23"/>
      <c r="G90" s="24"/>
      <c r="H90" s="25"/>
      <c r="I90" s="26"/>
      <c r="J90" s="67">
        <f>SUM(J86:K89)</f>
        <v>2.44</v>
      </c>
      <c r="K90" s="68"/>
    </row>
    <row r="91" spans="1:13" ht="15" customHeight="1" x14ac:dyDescent="0.3">
      <c r="A91" s="3"/>
      <c r="B91" s="3"/>
      <c r="C91" s="3"/>
      <c r="D91" s="3"/>
      <c r="E91" s="3"/>
      <c r="F91" s="3"/>
      <c r="G91" s="3"/>
      <c r="H91" s="3"/>
      <c r="I91" s="3"/>
      <c r="J91" s="3"/>
      <c r="K91" s="3"/>
    </row>
    <row r="92" spans="1:13" ht="15" customHeight="1" x14ac:dyDescent="0.3">
      <c r="A92" s="10" t="s">
        <v>63</v>
      </c>
      <c r="B92" s="10" t="s">
        <v>24</v>
      </c>
      <c r="C92" s="75" t="s">
        <v>8</v>
      </c>
      <c r="D92" s="76"/>
      <c r="E92" s="76"/>
      <c r="F92" s="76"/>
      <c r="G92" s="6" t="s">
        <v>25</v>
      </c>
      <c r="H92" s="6" t="s">
        <v>64</v>
      </c>
      <c r="I92" s="6" t="s">
        <v>65</v>
      </c>
      <c r="J92" s="62" t="s">
        <v>10</v>
      </c>
      <c r="K92" s="63"/>
    </row>
    <row r="93" spans="1:13" ht="45" customHeight="1" x14ac:dyDescent="0.3">
      <c r="A93" s="6" t="s">
        <v>66</v>
      </c>
      <c r="B93" s="27">
        <v>101654</v>
      </c>
      <c r="C93" s="84" t="str">
        <f>VLOOKUP(B93,S!$A:$D,2,FALSE)</f>
        <v>LUMINÁRIA DE LED PARA ILUMINAÇÃO PÚBLICA, DE 33 W ATÉ 50 W - FORNECIMENTO E INSTALAÇÃO. AF_08/2020</v>
      </c>
      <c r="D93" s="84"/>
      <c r="E93" s="84"/>
      <c r="F93" s="85"/>
      <c r="G93" s="6" t="str">
        <f>VLOOKUP(B93,S!$A:$D,3,FALSE)</f>
        <v>UN</v>
      </c>
      <c r="H93" s="20"/>
      <c r="I93" s="20">
        <f>J99</f>
        <v>338.90000000000003</v>
      </c>
      <c r="J93" s="70"/>
      <c r="K93" s="71"/>
      <c r="L93" s="20">
        <f>VLOOKUP(B93,S!$A:$D,4,FALSE)</f>
        <v>338.9</v>
      </c>
      <c r="M93" s="6" t="str">
        <f>IF(ROUND((L93-I93),2)=0,"OK, confere com a tabela.",IF(ROUND((L93-I93),2)&lt;0,"ACIMA ("&amp;TEXT(ROUND(I93*100/L93,4),"0,0000")&amp;" %) da tabela.","ABAIXO ("&amp;TEXT(ROUND(I93*100/L93,4),"0,0000")&amp;" %) da tabela."))</f>
        <v>OK, confere com a tabela.</v>
      </c>
    </row>
    <row r="94" spans="1:13" ht="30" customHeight="1" x14ac:dyDescent="0.3">
      <c r="A94" s="17" t="s">
        <v>70</v>
      </c>
      <c r="B94" s="19">
        <v>21127</v>
      </c>
      <c r="C94" s="64" t="str">
        <f>VLOOKUP(B94,IF(A94="COMPOSICAO",S!$A:$D,I!$A:$D),2,FALSE)</f>
        <v>FITA ISOLANTE ADESIVA ANTICHAMA, USO ATE 750 V, EM ROLO DE 19 MM X 5 M</v>
      </c>
      <c r="D94" s="64"/>
      <c r="E94" s="64"/>
      <c r="F94" s="64"/>
      <c r="G94" s="17" t="str">
        <f>VLOOKUP(B94,IF(A94="COMPOSICAO",S!$A:$D,I!$A:$D),3,FALSE)</f>
        <v>UN</v>
      </c>
      <c r="H94" s="28">
        <v>1.4E-2</v>
      </c>
      <c r="I94" s="18">
        <f>IF(A94="COMPOSICAO",VLOOKUP("TOTAL - "&amp;B94,COMPOSICAO_AUX_2!$A:$J,10,FALSE),VLOOKUP(B94,I!$A:$D,4,FALSE))</f>
        <v>3.88</v>
      </c>
      <c r="J94" s="67">
        <f>TRUNC(H94*I94,2)</f>
        <v>0.05</v>
      </c>
      <c r="K94" s="68"/>
    </row>
    <row r="95" spans="1:13" ht="45" customHeight="1" x14ac:dyDescent="0.3">
      <c r="A95" s="17" t="s">
        <v>70</v>
      </c>
      <c r="B95" s="19">
        <v>42244</v>
      </c>
      <c r="C95" s="64" t="str">
        <f>VLOOKUP(B95,IF(A95="COMPOSICAO",S!$A:$D,I!$A:$D),2,FALSE)</f>
        <v>LUMINARIA DE LED PARA ILUMINACAO PUBLICA, DE 33 W ATE 50 W, INVOLUCRO EM ALUMINIO OU ACO INOX</v>
      </c>
      <c r="D95" s="64"/>
      <c r="E95" s="64"/>
      <c r="F95" s="64"/>
      <c r="G95" s="17" t="str">
        <f>VLOOKUP(B95,IF(A95="COMPOSICAO",S!$A:$D,I!$A:$D),3,FALSE)</f>
        <v>UN</v>
      </c>
      <c r="H95" s="18">
        <v>1</v>
      </c>
      <c r="I95" s="18">
        <f>IF(A95="COMPOSICAO",VLOOKUP("TOTAL - "&amp;B95,COMPOSICAO_AUX_2!$A:$J,10,FALSE),VLOOKUP(B95,I!$A:$D,4,FALSE))</f>
        <v>289.91000000000003</v>
      </c>
      <c r="J95" s="67">
        <f>TRUNC(H95*I95,2)</f>
        <v>289.91000000000003</v>
      </c>
      <c r="K95" s="68"/>
    </row>
    <row r="96" spans="1:13" ht="75" customHeight="1" x14ac:dyDescent="0.3">
      <c r="A96" s="17" t="s">
        <v>71</v>
      </c>
      <c r="B96" s="19">
        <v>5928</v>
      </c>
      <c r="C96" s="64" t="str">
        <f>VLOOKUP(B96,IF(A96="COMPOSICAO",S!$A:$D,I!$A:$D),2,FALSE)</f>
        <v>GUINDAUTO HIDRÁULICO, CAPACIDADE MÁXIMA DE CARGA 6200 KG, MOMENTO MÁXIMO DE CARGA 11,7 TM, ALCANCE MÁXIMO HORIZONTAL 9,70 M, INCLUSIVE CAMINHÃO TOCO PBT 16.000 KG, POTÊNCIA DE 189 CV - CHP DIURNO. AF_06/2014</v>
      </c>
      <c r="D96" s="64"/>
      <c r="E96" s="64"/>
      <c r="F96" s="64"/>
      <c r="G96" s="17" t="str">
        <f>VLOOKUP(B96,IF(A96="COMPOSICAO",S!$A:$D,I!$A:$D),3,FALSE)</f>
        <v>CHP</v>
      </c>
      <c r="H96" s="29">
        <v>0.23880000000000001</v>
      </c>
      <c r="I96" s="18">
        <f>IF(A96="COMPOSICAO",VLOOKUP("TOTAL - "&amp;B96,COMPOSICAO_AUX_2!$A:$J,10,FALSE),VLOOKUP(B96,I!$A:$D,4,FALSE))</f>
        <v>169.63</v>
      </c>
      <c r="J96" s="67">
        <f>TRUNC(H96*I96,2)</f>
        <v>40.5</v>
      </c>
      <c r="K96" s="68"/>
    </row>
    <row r="97" spans="1:11" ht="30" customHeight="1" x14ac:dyDescent="0.3">
      <c r="A97" s="17" t="s">
        <v>71</v>
      </c>
      <c r="B97" s="19">
        <v>88247</v>
      </c>
      <c r="C97" s="64" t="str">
        <f>VLOOKUP(B97,IF(A97="COMPOSICAO",S!$A:$D,I!$A:$D),2,FALSE)</f>
        <v>AUXILIAR DE ELETRICISTA COM ENCARGOS COMPLEMENTARES</v>
      </c>
      <c r="D97" s="64"/>
      <c r="E97" s="64"/>
      <c r="F97" s="64"/>
      <c r="G97" s="17" t="str">
        <f>VLOOKUP(B97,IF(A97="COMPOSICAO",S!$A:$D,I!$A:$D),3,FALSE)</f>
        <v>H</v>
      </c>
      <c r="H97" s="29">
        <v>0.23810000000000001</v>
      </c>
      <c r="I97" s="18">
        <f>IF(A97="COMPOSICAO",VLOOKUP("TOTAL - "&amp;B97,COMPOSICAO_AUX_2!$A:$J,10,FALSE),VLOOKUP(B97,I!$A:$D,4,FALSE))</f>
        <v>15.469999999999999</v>
      </c>
      <c r="J97" s="67">
        <f>TRUNC(H97*I97,2)</f>
        <v>3.68</v>
      </c>
      <c r="K97" s="68"/>
    </row>
    <row r="98" spans="1:11" ht="15" customHeight="1" x14ac:dyDescent="0.3">
      <c r="A98" s="17" t="s">
        <v>71</v>
      </c>
      <c r="B98" s="19">
        <v>88264</v>
      </c>
      <c r="C98" s="64" t="str">
        <f>VLOOKUP(B98,IF(A98="COMPOSICAO",S!$A:$D,I!$A:$D),2,FALSE)</f>
        <v>ELETRICISTA COM ENCARGOS COMPLEMENTARES</v>
      </c>
      <c r="D98" s="64"/>
      <c r="E98" s="64"/>
      <c r="F98" s="64"/>
      <c r="G98" s="17" t="str">
        <f>VLOOKUP(B98,IF(A98="COMPOSICAO",S!$A:$D,I!$A:$D),3,FALSE)</f>
        <v>H</v>
      </c>
      <c r="H98" s="29">
        <v>0.23810000000000001</v>
      </c>
      <c r="I98" s="18">
        <f>IF(A98="COMPOSICAO",VLOOKUP("TOTAL - "&amp;B98,COMPOSICAO_AUX_2!$A:$J,10,FALSE),VLOOKUP(B98,I!$A:$D,4,FALSE))</f>
        <v>20.02</v>
      </c>
      <c r="J98" s="67">
        <f>TRUNC(H98*I98,2)</f>
        <v>4.76</v>
      </c>
      <c r="K98" s="68"/>
    </row>
    <row r="99" spans="1:11" ht="15" customHeight="1" x14ac:dyDescent="0.3">
      <c r="A99" s="22" t="s">
        <v>99</v>
      </c>
      <c r="B99" s="23"/>
      <c r="C99" s="23"/>
      <c r="D99" s="23"/>
      <c r="E99" s="23"/>
      <c r="F99" s="23"/>
      <c r="G99" s="24"/>
      <c r="H99" s="25"/>
      <c r="I99" s="26"/>
      <c r="J99" s="67">
        <f>SUM(J93:K98)</f>
        <v>338.90000000000003</v>
      </c>
      <c r="K99" s="68"/>
    </row>
    <row r="100" spans="1:11" ht="15" customHeight="1" x14ac:dyDescent="0.3">
      <c r="A100" s="3"/>
      <c r="B100" s="3"/>
      <c r="C100" s="3"/>
      <c r="D100" s="3"/>
      <c r="E100" s="3"/>
      <c r="F100" s="3"/>
      <c r="G100" s="3"/>
      <c r="H100" s="3"/>
      <c r="I100" s="3"/>
      <c r="J100" s="3"/>
      <c r="K100" s="3"/>
    </row>
  </sheetData>
  <sheetProtection formatCells="0" formatColumns="0" formatRows="0" insertColumns="0" insertRows="0" insertHyperlinks="0" deleteColumns="0" deleteRows="0" sort="0" autoFilter="0" pivotTables="0"/>
  <mergeCells count="166">
    <mergeCell ref="C8:F8"/>
    <mergeCell ref="J8:K8"/>
    <mergeCell ref="C9:F9"/>
    <mergeCell ref="J9:K9"/>
    <mergeCell ref="C10:F10"/>
    <mergeCell ref="J10:K10"/>
    <mergeCell ref="A1:K1"/>
    <mergeCell ref="A2:K2"/>
    <mergeCell ref="A3:K3"/>
    <mergeCell ref="C6:F6"/>
    <mergeCell ref="J6:K6"/>
    <mergeCell ref="C7:F7"/>
    <mergeCell ref="J7:K7"/>
    <mergeCell ref="C14:F14"/>
    <mergeCell ref="J14:K14"/>
    <mergeCell ref="C15:F15"/>
    <mergeCell ref="J15:K15"/>
    <mergeCell ref="J16:K16"/>
    <mergeCell ref="C18:F18"/>
    <mergeCell ref="J18:K18"/>
    <mergeCell ref="C11:F11"/>
    <mergeCell ref="J11:K11"/>
    <mergeCell ref="C12:F12"/>
    <mergeCell ref="J12:K12"/>
    <mergeCell ref="C13:F13"/>
    <mergeCell ref="J13:K13"/>
    <mergeCell ref="C22:F22"/>
    <mergeCell ref="J22:K22"/>
    <mergeCell ref="C23:F23"/>
    <mergeCell ref="J23:K23"/>
    <mergeCell ref="C24:F24"/>
    <mergeCell ref="J24:K24"/>
    <mergeCell ref="C19:F19"/>
    <mergeCell ref="J19:K19"/>
    <mergeCell ref="C20:F20"/>
    <mergeCell ref="J20:K20"/>
    <mergeCell ref="C21:F21"/>
    <mergeCell ref="J21:K21"/>
    <mergeCell ref="J28:K28"/>
    <mergeCell ref="C30:F30"/>
    <mergeCell ref="J30:K30"/>
    <mergeCell ref="C31:F31"/>
    <mergeCell ref="J31:K31"/>
    <mergeCell ref="C32:F32"/>
    <mergeCell ref="J32:K32"/>
    <mergeCell ref="C25:F25"/>
    <mergeCell ref="J25:K25"/>
    <mergeCell ref="C26:F26"/>
    <mergeCell ref="J26:K26"/>
    <mergeCell ref="C27:F27"/>
    <mergeCell ref="J27:K27"/>
    <mergeCell ref="C36:F36"/>
    <mergeCell ref="J36:K36"/>
    <mergeCell ref="C37:F37"/>
    <mergeCell ref="J37:K37"/>
    <mergeCell ref="C38:F38"/>
    <mergeCell ref="J38:K38"/>
    <mergeCell ref="C33:F33"/>
    <mergeCell ref="J33:K33"/>
    <mergeCell ref="C34:F34"/>
    <mergeCell ref="J34:K34"/>
    <mergeCell ref="C35:F35"/>
    <mergeCell ref="J35:K35"/>
    <mergeCell ref="C44:F44"/>
    <mergeCell ref="J44:K44"/>
    <mergeCell ref="C45:F45"/>
    <mergeCell ref="J45:K45"/>
    <mergeCell ref="C46:F46"/>
    <mergeCell ref="J46:K46"/>
    <mergeCell ref="C39:F39"/>
    <mergeCell ref="J39:K39"/>
    <mergeCell ref="J40:K40"/>
    <mergeCell ref="C42:F42"/>
    <mergeCell ref="J42:K42"/>
    <mergeCell ref="C43:F43"/>
    <mergeCell ref="J43:K43"/>
    <mergeCell ref="C50:F50"/>
    <mergeCell ref="J50:K50"/>
    <mergeCell ref="C51:F51"/>
    <mergeCell ref="J51:K51"/>
    <mergeCell ref="J52:K52"/>
    <mergeCell ref="C54:F54"/>
    <mergeCell ref="J54:K54"/>
    <mergeCell ref="C47:F47"/>
    <mergeCell ref="J47:K47"/>
    <mergeCell ref="C48:F48"/>
    <mergeCell ref="J48:K48"/>
    <mergeCell ref="C49:F49"/>
    <mergeCell ref="J49:K49"/>
    <mergeCell ref="C58:F58"/>
    <mergeCell ref="J58:K58"/>
    <mergeCell ref="C59:F59"/>
    <mergeCell ref="J59:K59"/>
    <mergeCell ref="C60:F60"/>
    <mergeCell ref="J60:K60"/>
    <mergeCell ref="C55:F55"/>
    <mergeCell ref="J55:K55"/>
    <mergeCell ref="C56:F56"/>
    <mergeCell ref="J56:K56"/>
    <mergeCell ref="C57:F57"/>
    <mergeCell ref="J57:K57"/>
    <mergeCell ref="C64:F64"/>
    <mergeCell ref="J64:K64"/>
    <mergeCell ref="C65:F65"/>
    <mergeCell ref="J65:K65"/>
    <mergeCell ref="C66:F66"/>
    <mergeCell ref="J66:K66"/>
    <mergeCell ref="C61:F61"/>
    <mergeCell ref="J61:K61"/>
    <mergeCell ref="C62:F62"/>
    <mergeCell ref="J62:K62"/>
    <mergeCell ref="C63:F63"/>
    <mergeCell ref="J63:K63"/>
    <mergeCell ref="C72:F72"/>
    <mergeCell ref="J72:K72"/>
    <mergeCell ref="C73:F73"/>
    <mergeCell ref="J73:K73"/>
    <mergeCell ref="C74:F74"/>
    <mergeCell ref="J74:K74"/>
    <mergeCell ref="C67:F67"/>
    <mergeCell ref="J67:K67"/>
    <mergeCell ref="C68:F68"/>
    <mergeCell ref="J68:K68"/>
    <mergeCell ref="J69:K69"/>
    <mergeCell ref="C71:F71"/>
    <mergeCell ref="J71:K71"/>
    <mergeCell ref="J78:K78"/>
    <mergeCell ref="C80:F80"/>
    <mergeCell ref="J80:K80"/>
    <mergeCell ref="C81:F81"/>
    <mergeCell ref="J81:K81"/>
    <mergeCell ref="C82:F82"/>
    <mergeCell ref="J82:K82"/>
    <mergeCell ref="C75:F75"/>
    <mergeCell ref="J75:K75"/>
    <mergeCell ref="C76:F76"/>
    <mergeCell ref="J76:K76"/>
    <mergeCell ref="C77:F77"/>
    <mergeCell ref="J77:K77"/>
    <mergeCell ref="C88:F88"/>
    <mergeCell ref="J88:K88"/>
    <mergeCell ref="C89:F89"/>
    <mergeCell ref="J89:K89"/>
    <mergeCell ref="J90:K90"/>
    <mergeCell ref="C92:F92"/>
    <mergeCell ref="J92:K92"/>
    <mergeCell ref="J83:K83"/>
    <mergeCell ref="C85:F85"/>
    <mergeCell ref="J85:K85"/>
    <mergeCell ref="C86:F86"/>
    <mergeCell ref="J86:K86"/>
    <mergeCell ref="C87:F87"/>
    <mergeCell ref="J87:K87"/>
    <mergeCell ref="J99:K99"/>
    <mergeCell ref="C96:F96"/>
    <mergeCell ref="J96:K96"/>
    <mergeCell ref="C97:F97"/>
    <mergeCell ref="J97:K97"/>
    <mergeCell ref="C98:F98"/>
    <mergeCell ref="J98:K98"/>
    <mergeCell ref="C93:F93"/>
    <mergeCell ref="J93:K93"/>
    <mergeCell ref="C94:F94"/>
    <mergeCell ref="J94:K94"/>
    <mergeCell ref="C95:F95"/>
    <mergeCell ref="J95:K95"/>
  </mergeCells>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7"/>
  <sheetViews>
    <sheetView showGridLines="0" workbookViewId="0">
      <selection activeCell="I9" sqref="I9"/>
    </sheetView>
  </sheetViews>
  <sheetFormatPr defaultColWidth="9.109375" defaultRowHeight="15" customHeight="1" x14ac:dyDescent="0.3"/>
  <cols>
    <col min="1" max="1" width="14.6640625" style="1" customWidth="1"/>
    <col min="2" max="2" width="12.6640625" style="1" customWidth="1"/>
    <col min="3" max="3" width="4.6640625" style="1" customWidth="1"/>
    <col min="4" max="4" width="8.6640625" style="1" customWidth="1"/>
    <col min="5" max="5" width="25.6640625" style="1" customWidth="1"/>
    <col min="6" max="6" width="12.6640625" style="1" customWidth="1"/>
    <col min="7" max="7" width="8.6640625" style="1" customWidth="1"/>
    <col min="8" max="9" width="16.6640625" style="1" customWidth="1"/>
    <col min="10" max="11" width="8.6640625" style="1" customWidth="1"/>
    <col min="12" max="12" width="16.6640625" style="1" customWidth="1"/>
    <col min="13" max="13" width="27.5546875" style="1" customWidth="1"/>
    <col min="14" max="16384" width="9.109375" style="1"/>
  </cols>
  <sheetData>
    <row r="1" spans="1:13" ht="15" customHeight="1" x14ac:dyDescent="0.3">
      <c r="A1" s="54" t="str">
        <f>CIDADE</f>
        <v>MUNICÍPIO DE FLORESTA DO PIAUI - PI</v>
      </c>
      <c r="B1" s="54"/>
      <c r="C1" s="54"/>
      <c r="D1" s="54"/>
      <c r="E1" s="54"/>
      <c r="F1" s="54"/>
      <c r="G1" s="54"/>
      <c r="H1" s="54"/>
      <c r="I1" s="54"/>
      <c r="J1" s="54"/>
      <c r="K1" s="54"/>
    </row>
    <row r="2" spans="1:13" ht="15" customHeight="1" x14ac:dyDescent="0.3">
      <c r="A2" s="54" t="str">
        <f>OBRA</f>
        <v>INSTALAÇÕES ELÉTRICAS DE ILUMINAÇÃO DE PASSARELA DE  U E WILSON NUNES MARTINS FILHO</v>
      </c>
      <c r="B2" s="54"/>
      <c r="C2" s="54"/>
      <c r="D2" s="54"/>
      <c r="E2" s="54"/>
      <c r="F2" s="54"/>
      <c r="G2" s="54"/>
      <c r="H2" s="54"/>
      <c r="I2" s="54"/>
      <c r="J2" s="54"/>
      <c r="K2" s="54"/>
    </row>
    <row r="3" spans="1:13" ht="15" customHeight="1" x14ac:dyDescent="0.3">
      <c r="A3" s="54" t="s">
        <v>100</v>
      </c>
      <c r="B3" s="54"/>
      <c r="C3" s="54"/>
      <c r="D3" s="54"/>
      <c r="E3" s="54"/>
      <c r="F3" s="54"/>
      <c r="G3" s="54"/>
      <c r="H3" s="54"/>
      <c r="I3" s="54"/>
      <c r="J3" s="54"/>
      <c r="K3" s="54"/>
    </row>
    <row r="4" spans="1:13" ht="15" customHeight="1" x14ac:dyDescent="0.3">
      <c r="A4" s="3"/>
      <c r="B4" s="3"/>
      <c r="C4" s="3"/>
      <c r="D4" s="3"/>
      <c r="E4" s="3"/>
      <c r="F4" s="3"/>
      <c r="G4" s="3"/>
      <c r="H4" s="3"/>
      <c r="I4" s="3"/>
      <c r="J4" s="3"/>
      <c r="K4" s="3"/>
    </row>
    <row r="5" spans="1:13" ht="15" customHeight="1" x14ac:dyDescent="0.3">
      <c r="A5" s="2" t="s">
        <v>3</v>
      </c>
      <c r="B5" s="4" t="str">
        <f>FONTE&amp;ONERA</f>
        <v>SINAPI PI-02/2021, SEINFRA 27, ORSE-01/2021, SEM DESONERAÇÃO</v>
      </c>
      <c r="C5" s="2"/>
      <c r="D5" s="2"/>
      <c r="E5" s="2"/>
      <c r="G5" s="3"/>
      <c r="H5" s="2" t="s">
        <v>6</v>
      </c>
      <c r="I5" s="5">
        <f>LEI</f>
        <v>112.14999999999999</v>
      </c>
      <c r="J5" s="2" t="s">
        <v>7</v>
      </c>
      <c r="K5" s="5">
        <f>BDI</f>
        <v>21.25</v>
      </c>
    </row>
    <row r="6" spans="1:13" ht="15" customHeight="1" x14ac:dyDescent="0.3">
      <c r="A6" s="10" t="s">
        <v>63</v>
      </c>
      <c r="B6" s="10" t="s">
        <v>24</v>
      </c>
      <c r="C6" s="75" t="s">
        <v>8</v>
      </c>
      <c r="D6" s="76"/>
      <c r="E6" s="76"/>
      <c r="F6" s="76"/>
      <c r="G6" s="6" t="s">
        <v>25</v>
      </c>
      <c r="H6" s="6" t="s">
        <v>64</v>
      </c>
      <c r="I6" s="6" t="s">
        <v>65</v>
      </c>
      <c r="J6" s="62" t="s">
        <v>10</v>
      </c>
      <c r="K6" s="63"/>
    </row>
    <row r="7" spans="1:13" ht="30" customHeight="1" x14ac:dyDescent="0.3">
      <c r="A7" s="6" t="s">
        <v>87</v>
      </c>
      <c r="B7" s="27">
        <v>95316</v>
      </c>
      <c r="C7" s="84" t="str">
        <f>VLOOKUP(B7,S!$A:$D,2,FALSE)</f>
        <v>CURSO DE CAPACITAÇÃO PARA AUXILIAR DE ELETRICISTA (ENCARGOS COMPLEMENTARES) - HORISTA</v>
      </c>
      <c r="D7" s="84"/>
      <c r="E7" s="84"/>
      <c r="F7" s="85"/>
      <c r="G7" s="6" t="str">
        <f>VLOOKUP(B7,S!$A:$D,3,FALSE)</f>
        <v>H</v>
      </c>
      <c r="H7" s="20"/>
      <c r="I7" s="20">
        <f>J9</f>
        <v>0.27</v>
      </c>
      <c r="J7" s="70"/>
      <c r="K7" s="71"/>
      <c r="L7" s="20">
        <f>VLOOKUP(B7,S!$A:$D,4,FALSE)</f>
        <v>0.27</v>
      </c>
      <c r="M7" s="6" t="str">
        <f>IF(ROUND((L7-I7),2)=0,"OK, confere com a tabela.",IF(ROUND((L7-I7),2)&lt;0,"ACIMA ("&amp;TEXT(ROUND(I7*100/L7,4),"0,0000")&amp;" %) da tabela.","ABAIXO ("&amp;TEXT(ROUND(I7*100/L7,4),"0,0000")&amp;" %) da tabela."))</f>
        <v>OK, confere com a tabela.</v>
      </c>
    </row>
    <row r="8" spans="1:13" ht="15" customHeight="1" x14ac:dyDescent="0.3">
      <c r="A8" s="17" t="s">
        <v>70</v>
      </c>
      <c r="B8" s="19">
        <v>247</v>
      </c>
      <c r="C8" s="64" t="str">
        <f>VLOOKUP(B8,IF(A8="COMPOSICAO",S!$A:$D,I!$A:$D),2,FALSE)</f>
        <v>AJUDANTE DE ELETRICISTA</v>
      </c>
      <c r="D8" s="64"/>
      <c r="E8" s="64"/>
      <c r="F8" s="64"/>
      <c r="G8" s="17" t="str">
        <f>VLOOKUP(B8,IF(A8="COMPOSICAO",S!$A:$D,I!$A:$D),3,FALSE)</f>
        <v>H</v>
      </c>
      <c r="H8" s="29">
        <v>2.6599999999999999E-2</v>
      </c>
      <c r="I8" s="18">
        <f>IF(A8="COMPOSICAO",VLOOKUP("TOTAL - "&amp;B8,COMPOSICAO_AUX_3!$A:$J,10,FALSE),VLOOKUP(B8,I!$A:$D,4,FALSE))</f>
        <v>10.5</v>
      </c>
      <c r="J8" s="67">
        <f>TRUNC(H8*I8,2)</f>
        <v>0.27</v>
      </c>
      <c r="K8" s="68"/>
    </row>
    <row r="9" spans="1:13" ht="15" customHeight="1" x14ac:dyDescent="0.3">
      <c r="A9" s="22" t="s">
        <v>101</v>
      </c>
      <c r="B9" s="23"/>
      <c r="C9" s="23"/>
      <c r="D9" s="23"/>
      <c r="E9" s="23"/>
      <c r="F9" s="23"/>
      <c r="G9" s="24"/>
      <c r="H9" s="25"/>
      <c r="I9" s="26"/>
      <c r="J9" s="67">
        <f>SUM(J7:K8)</f>
        <v>0.27</v>
      </c>
      <c r="K9" s="68"/>
    </row>
    <row r="10" spans="1:13" ht="15" customHeight="1" x14ac:dyDescent="0.3">
      <c r="A10" s="3"/>
      <c r="B10" s="3"/>
      <c r="C10" s="3"/>
      <c r="D10" s="3"/>
      <c r="E10" s="3"/>
      <c r="F10" s="3"/>
      <c r="G10" s="3"/>
      <c r="H10" s="3"/>
      <c r="I10" s="3"/>
      <c r="J10" s="3"/>
      <c r="K10" s="3"/>
    </row>
    <row r="11" spans="1:13" ht="15" customHeight="1" x14ac:dyDescent="0.3">
      <c r="A11" s="10" t="s">
        <v>63</v>
      </c>
      <c r="B11" s="10" t="s">
        <v>24</v>
      </c>
      <c r="C11" s="75" t="s">
        <v>8</v>
      </c>
      <c r="D11" s="76"/>
      <c r="E11" s="76"/>
      <c r="F11" s="76"/>
      <c r="G11" s="6" t="s">
        <v>25</v>
      </c>
      <c r="H11" s="6" t="s">
        <v>64</v>
      </c>
      <c r="I11" s="6" t="s">
        <v>65</v>
      </c>
      <c r="J11" s="62" t="s">
        <v>10</v>
      </c>
      <c r="K11" s="63"/>
    </row>
    <row r="12" spans="1:13" ht="30" customHeight="1" x14ac:dyDescent="0.3">
      <c r="A12" s="6" t="s">
        <v>87</v>
      </c>
      <c r="B12" s="27">
        <v>95332</v>
      </c>
      <c r="C12" s="84" t="str">
        <f>VLOOKUP(B12,S!$A:$D,2,FALSE)</f>
        <v>CURSO DE CAPACITAÇÃO PARA ELETRICISTA (ENCARGOS COMPLEMENTARES) - HORISTA</v>
      </c>
      <c r="D12" s="84"/>
      <c r="E12" s="84"/>
      <c r="F12" s="85"/>
      <c r="G12" s="6" t="str">
        <f>VLOOKUP(B12,S!$A:$D,3,FALSE)</f>
        <v>H</v>
      </c>
      <c r="H12" s="20"/>
      <c r="I12" s="20">
        <f>J14</f>
        <v>0.39</v>
      </c>
      <c r="J12" s="70"/>
      <c r="K12" s="71"/>
      <c r="L12" s="20">
        <f>VLOOKUP(B12,S!$A:$D,4,FALSE)</f>
        <v>0.39</v>
      </c>
      <c r="M12" s="6" t="str">
        <f>IF(ROUND((L12-I12),2)=0,"OK, confere com a tabela.",IF(ROUND((L12-I12),2)&lt;0,"ACIMA ("&amp;TEXT(ROUND(I12*100/L12,4),"0,0000")&amp;" %) da tabela.","ABAIXO ("&amp;TEXT(ROUND(I12*100/L12,4),"0,0000")&amp;" %) da tabela."))</f>
        <v>OK, confere com a tabela.</v>
      </c>
    </row>
    <row r="13" spans="1:13" ht="15" customHeight="1" x14ac:dyDescent="0.3">
      <c r="A13" s="17" t="s">
        <v>70</v>
      </c>
      <c r="B13" s="19">
        <v>2436</v>
      </c>
      <c r="C13" s="64" t="str">
        <f>VLOOKUP(B13,IF(A13="COMPOSICAO",S!$A:$D,I!$A:$D),2,FALSE)</f>
        <v>ELETRICISTA</v>
      </c>
      <c r="D13" s="64"/>
      <c r="E13" s="64"/>
      <c r="F13" s="64"/>
      <c r="G13" s="17" t="str">
        <f>VLOOKUP(B13,IF(A13="COMPOSICAO",S!$A:$D,I!$A:$D),3,FALSE)</f>
        <v>H</v>
      </c>
      <c r="H13" s="29">
        <v>2.6599999999999999E-2</v>
      </c>
      <c r="I13" s="18">
        <f>IF(A13="COMPOSICAO",VLOOKUP("TOTAL - "&amp;B13,COMPOSICAO_AUX_3!$A:$J,10,FALSE),VLOOKUP(B13,I!$A:$D,4,FALSE))</f>
        <v>14.93</v>
      </c>
      <c r="J13" s="67">
        <f>TRUNC(H13*I13,2)</f>
        <v>0.39</v>
      </c>
      <c r="K13" s="68"/>
    </row>
    <row r="14" spans="1:13" ht="15" customHeight="1" x14ac:dyDescent="0.3">
      <c r="A14" s="22" t="s">
        <v>102</v>
      </c>
      <c r="B14" s="23"/>
      <c r="C14" s="23"/>
      <c r="D14" s="23"/>
      <c r="E14" s="23"/>
      <c r="F14" s="23"/>
      <c r="G14" s="24"/>
      <c r="H14" s="25"/>
      <c r="I14" s="26"/>
      <c r="J14" s="67">
        <f>SUM(J12:K13)</f>
        <v>0.39</v>
      </c>
      <c r="K14" s="68"/>
    </row>
    <row r="15" spans="1:13" ht="15" customHeight="1" x14ac:dyDescent="0.3">
      <c r="A15" s="3"/>
      <c r="B15" s="3"/>
      <c r="C15" s="3"/>
      <c r="D15" s="3"/>
      <c r="E15" s="3"/>
      <c r="F15" s="3"/>
      <c r="G15" s="3"/>
      <c r="H15" s="3"/>
      <c r="I15" s="3"/>
      <c r="J15" s="3"/>
      <c r="K15" s="3"/>
    </row>
    <row r="16" spans="1:13" ht="15" customHeight="1" x14ac:dyDescent="0.3">
      <c r="A16" s="10" t="s">
        <v>63</v>
      </c>
      <c r="B16" s="10" t="s">
        <v>24</v>
      </c>
      <c r="C16" s="75" t="s">
        <v>8</v>
      </c>
      <c r="D16" s="76"/>
      <c r="E16" s="76"/>
      <c r="F16" s="76"/>
      <c r="G16" s="6" t="s">
        <v>25</v>
      </c>
      <c r="H16" s="6" t="s">
        <v>64</v>
      </c>
      <c r="I16" s="6" t="s">
        <v>65</v>
      </c>
      <c r="J16" s="62" t="s">
        <v>10</v>
      </c>
      <c r="K16" s="63"/>
    </row>
    <row r="17" spans="1:13" ht="30" customHeight="1" x14ac:dyDescent="0.3">
      <c r="A17" s="6" t="s">
        <v>87</v>
      </c>
      <c r="B17" s="27">
        <v>95371</v>
      </c>
      <c r="C17" s="84" t="str">
        <f>VLOOKUP(B17,S!$A:$D,2,FALSE)</f>
        <v>CURSO DE CAPACITAÇÃO PARA PEDREIRO (ENCARGOS COMPLEMENTARES) - HORISTA</v>
      </c>
      <c r="D17" s="84"/>
      <c r="E17" s="84"/>
      <c r="F17" s="85"/>
      <c r="G17" s="6" t="str">
        <f>VLOOKUP(B17,S!$A:$D,3,FALSE)</f>
        <v>H</v>
      </c>
      <c r="H17" s="20"/>
      <c r="I17" s="20">
        <f>J19</f>
        <v>0.22</v>
      </c>
      <c r="J17" s="70"/>
      <c r="K17" s="71"/>
      <c r="L17" s="20">
        <f>VLOOKUP(B17,S!$A:$D,4,FALSE)</f>
        <v>0.22</v>
      </c>
      <c r="M17" s="6" t="str">
        <f>IF(ROUND((L17-I17),2)=0,"OK, confere com a tabela.",IF(ROUND((L17-I17),2)&lt;0,"ACIMA ("&amp;TEXT(ROUND(I17*100/L17,4),"0,0000")&amp;" %) da tabela.","ABAIXO ("&amp;TEXT(ROUND(I17*100/L17,4),"0,0000")&amp;" %) da tabela."))</f>
        <v>OK, confere com a tabela.</v>
      </c>
    </row>
    <row r="18" spans="1:13" ht="15" customHeight="1" x14ac:dyDescent="0.3">
      <c r="A18" s="17" t="s">
        <v>70</v>
      </c>
      <c r="B18" s="19">
        <v>4750</v>
      </c>
      <c r="C18" s="64" t="str">
        <f>VLOOKUP(B18,IF(A18="COMPOSICAO",S!$A:$D,I!$A:$D),2,FALSE)</f>
        <v>PEDREIRO</v>
      </c>
      <c r="D18" s="64"/>
      <c r="E18" s="64"/>
      <c r="F18" s="64"/>
      <c r="G18" s="17" t="str">
        <f>VLOOKUP(B18,IF(A18="COMPOSICAO",S!$A:$D,I!$A:$D),3,FALSE)</f>
        <v>H</v>
      </c>
      <c r="H18" s="29">
        <v>1.5100000000000001E-2</v>
      </c>
      <c r="I18" s="18">
        <f>IF(A18="COMPOSICAO",VLOOKUP("TOTAL - "&amp;B18,COMPOSICAO_AUX_3!$A:$J,10,FALSE),VLOOKUP(B18,I!$A:$D,4,FALSE))</f>
        <v>14.93</v>
      </c>
      <c r="J18" s="67">
        <f>TRUNC(H18*I18,2)</f>
        <v>0.22</v>
      </c>
      <c r="K18" s="68"/>
    </row>
    <row r="19" spans="1:13" ht="15" customHeight="1" x14ac:dyDescent="0.3">
      <c r="A19" s="22" t="s">
        <v>103</v>
      </c>
      <c r="B19" s="23"/>
      <c r="C19" s="23"/>
      <c r="D19" s="23"/>
      <c r="E19" s="23"/>
      <c r="F19" s="23"/>
      <c r="G19" s="24"/>
      <c r="H19" s="25"/>
      <c r="I19" s="26"/>
      <c r="J19" s="67">
        <f>SUM(J17:K18)</f>
        <v>0.22</v>
      </c>
      <c r="K19" s="68"/>
    </row>
    <row r="20" spans="1:13" ht="15" customHeight="1" x14ac:dyDescent="0.3">
      <c r="A20" s="3"/>
      <c r="B20" s="3"/>
      <c r="C20" s="3"/>
      <c r="D20" s="3"/>
      <c r="E20" s="3"/>
      <c r="F20" s="3"/>
      <c r="G20" s="3"/>
      <c r="H20" s="3"/>
      <c r="I20" s="3"/>
      <c r="J20" s="3"/>
      <c r="K20" s="3"/>
    </row>
    <row r="21" spans="1:13" ht="15" customHeight="1" x14ac:dyDescent="0.3">
      <c r="A21" s="10" t="s">
        <v>63</v>
      </c>
      <c r="B21" s="10" t="s">
        <v>24</v>
      </c>
      <c r="C21" s="75" t="s">
        <v>8</v>
      </c>
      <c r="D21" s="76"/>
      <c r="E21" s="76"/>
      <c r="F21" s="76"/>
      <c r="G21" s="6" t="s">
        <v>25</v>
      </c>
      <c r="H21" s="6" t="s">
        <v>64</v>
      </c>
      <c r="I21" s="6" t="s">
        <v>65</v>
      </c>
      <c r="J21" s="62" t="s">
        <v>10</v>
      </c>
      <c r="K21" s="63"/>
    </row>
    <row r="22" spans="1:13" ht="30" customHeight="1" x14ac:dyDescent="0.3">
      <c r="A22" s="6" t="s">
        <v>87</v>
      </c>
      <c r="B22" s="27">
        <v>95378</v>
      </c>
      <c r="C22" s="84" t="str">
        <f>VLOOKUP(B22,S!$A:$D,2,FALSE)</f>
        <v>CURSO DE CAPACITAÇÃO PARA SERVENTE (ENCARGOS COMPLEMENTARES) - HORISTA</v>
      </c>
      <c r="D22" s="84"/>
      <c r="E22" s="84"/>
      <c r="F22" s="85"/>
      <c r="G22" s="6" t="str">
        <f>VLOOKUP(B22,S!$A:$D,3,FALSE)</f>
        <v>H</v>
      </c>
      <c r="H22" s="20"/>
      <c r="I22" s="20">
        <f>J24</f>
        <v>0.16</v>
      </c>
      <c r="J22" s="70"/>
      <c r="K22" s="71"/>
      <c r="L22" s="20">
        <f>VLOOKUP(B22,S!$A:$D,4,FALSE)</f>
        <v>0.16</v>
      </c>
      <c r="M22" s="6" t="str">
        <f>IF(ROUND((L22-I22),2)=0,"OK, confere com a tabela.",IF(ROUND((L22-I22),2)&lt;0,"ACIMA ("&amp;TEXT(ROUND(I22*100/L22,4),"0,0000")&amp;" %) da tabela.","ABAIXO ("&amp;TEXT(ROUND(I22*100/L22,4),"0,0000")&amp;" %) da tabela."))</f>
        <v>OK, confere com a tabela.</v>
      </c>
    </row>
    <row r="23" spans="1:13" ht="15" customHeight="1" x14ac:dyDescent="0.3">
      <c r="A23" s="17" t="s">
        <v>70</v>
      </c>
      <c r="B23" s="19">
        <v>6111</v>
      </c>
      <c r="C23" s="64" t="str">
        <f>VLOOKUP(B23,IF(A23="COMPOSICAO",S!$A:$D,I!$A:$D),2,FALSE)</f>
        <v>SERVENTE DE OBRAS</v>
      </c>
      <c r="D23" s="64"/>
      <c r="E23" s="64"/>
      <c r="F23" s="64"/>
      <c r="G23" s="17" t="str">
        <f>VLOOKUP(B23,IF(A23="COMPOSICAO",S!$A:$D,I!$A:$D),3,FALSE)</f>
        <v>H</v>
      </c>
      <c r="H23" s="29">
        <v>1.5100000000000001E-2</v>
      </c>
      <c r="I23" s="18">
        <f>IF(A23="COMPOSICAO",VLOOKUP("TOTAL - "&amp;B23,COMPOSICAO_AUX_3!$A:$J,10,FALSE),VLOOKUP(B23,I!$A:$D,4,FALSE))</f>
        <v>10.6</v>
      </c>
      <c r="J23" s="67">
        <f>TRUNC(H23*I23,2)</f>
        <v>0.16</v>
      </c>
      <c r="K23" s="68"/>
    </row>
    <row r="24" spans="1:13" ht="15" customHeight="1" x14ac:dyDescent="0.3">
      <c r="A24" s="22" t="s">
        <v>104</v>
      </c>
      <c r="B24" s="23"/>
      <c r="C24" s="23"/>
      <c r="D24" s="23"/>
      <c r="E24" s="23"/>
      <c r="F24" s="23"/>
      <c r="G24" s="24"/>
      <c r="H24" s="25"/>
      <c r="I24" s="26"/>
      <c r="J24" s="67">
        <f>SUM(J22:K23)</f>
        <v>0.16</v>
      </c>
      <c r="K24" s="68"/>
    </row>
    <row r="25" spans="1:13" ht="15" customHeight="1" x14ac:dyDescent="0.3">
      <c r="A25" s="3"/>
      <c r="B25" s="3"/>
      <c r="C25" s="3"/>
      <c r="D25" s="3"/>
      <c r="E25" s="3"/>
      <c r="F25" s="3"/>
      <c r="G25" s="3"/>
      <c r="H25" s="3"/>
      <c r="I25" s="3"/>
      <c r="J25" s="3"/>
      <c r="K25" s="3"/>
    </row>
    <row r="26" spans="1:13" ht="15" customHeight="1" x14ac:dyDescent="0.3">
      <c r="A26" s="10" t="s">
        <v>63</v>
      </c>
      <c r="B26" s="10" t="s">
        <v>24</v>
      </c>
      <c r="C26" s="75" t="s">
        <v>8</v>
      </c>
      <c r="D26" s="76"/>
      <c r="E26" s="76"/>
      <c r="F26" s="76"/>
      <c r="G26" s="6" t="s">
        <v>25</v>
      </c>
      <c r="H26" s="6" t="s">
        <v>64</v>
      </c>
      <c r="I26" s="6" t="s">
        <v>65</v>
      </c>
      <c r="J26" s="62" t="s">
        <v>10</v>
      </c>
      <c r="K26" s="63"/>
    </row>
    <row r="27" spans="1:13" ht="30" customHeight="1" x14ac:dyDescent="0.3">
      <c r="A27" s="6" t="s">
        <v>87</v>
      </c>
      <c r="B27" s="27">
        <v>88239</v>
      </c>
      <c r="C27" s="84" t="str">
        <f>VLOOKUP(B27,S!$A:$D,2,FALSE)</f>
        <v>AJUDANTE DE CARPINTEIRO COM ENCARGOS COMPLEMENTARES</v>
      </c>
      <c r="D27" s="84"/>
      <c r="E27" s="84"/>
      <c r="F27" s="85"/>
      <c r="G27" s="6" t="str">
        <f>VLOOKUP(B27,S!$A:$D,3,FALSE)</f>
        <v>H</v>
      </c>
      <c r="H27" s="20"/>
      <c r="I27" s="20">
        <f>J36</f>
        <v>16.470000000000002</v>
      </c>
      <c r="J27" s="70"/>
      <c r="K27" s="71"/>
      <c r="L27" s="20">
        <f>VLOOKUP(B27,S!$A:$D,4,FALSE)</f>
        <v>16.47</v>
      </c>
      <c r="M27" s="6" t="str">
        <f>IF(ROUND((L27-I27),2)=0,"OK, confere com a tabela.",IF(ROUND((L27-I27),2)&lt;0,"ACIMA ("&amp;TEXT(ROUND(I27*100/L27,4),"0,0000")&amp;" %) da tabela.","ABAIXO ("&amp;TEXT(ROUND(I27*100/L27,4),"0,0000")&amp;" %) da tabela."))</f>
        <v>OK, confere com a tabela.</v>
      </c>
    </row>
    <row r="28" spans="1:13" ht="15" customHeight="1" x14ac:dyDescent="0.3">
      <c r="A28" s="17" t="s">
        <v>70</v>
      </c>
      <c r="B28" s="19">
        <v>6117</v>
      </c>
      <c r="C28" s="64" t="str">
        <f>VLOOKUP(B28,IF(A28="COMPOSICAO",S!$A:$D,I!$A:$D),2,FALSE)</f>
        <v>CARPINTEIRO AUXILIAR</v>
      </c>
      <c r="D28" s="64"/>
      <c r="E28" s="64"/>
      <c r="F28" s="64"/>
      <c r="G28" s="17" t="str">
        <f>VLOOKUP(B28,IF(A28="COMPOSICAO",S!$A:$D,I!$A:$D),3,FALSE)</f>
        <v>H</v>
      </c>
      <c r="H28" s="18">
        <v>1</v>
      </c>
      <c r="I28" s="18">
        <f>IF(A28="COMPOSICAO",VLOOKUP("TOTAL - "&amp;B28,COMPOSICAO_AUX_3!$A:$J,10,FALSE),VLOOKUP(B28,I!$A:$D,4,FALSE))</f>
        <v>11.75</v>
      </c>
      <c r="J28" s="67">
        <f t="shared" ref="J28:J35" si="0">TRUNC(H28*I28,2)</f>
        <v>11.75</v>
      </c>
      <c r="K28" s="68"/>
    </row>
    <row r="29" spans="1:13" ht="15" customHeight="1" x14ac:dyDescent="0.3">
      <c r="A29" s="17" t="s">
        <v>70</v>
      </c>
      <c r="B29" s="19">
        <v>37370</v>
      </c>
      <c r="C29" s="64" t="str">
        <f>VLOOKUP(B29,IF(A29="COMPOSICAO",S!$A:$D,I!$A:$D),2,FALSE)</f>
        <v>ALIMENTACAO - HORISTA (COLETADO CAIXA)</v>
      </c>
      <c r="D29" s="64"/>
      <c r="E29" s="64"/>
      <c r="F29" s="64"/>
      <c r="G29" s="17" t="str">
        <f>VLOOKUP(B29,IF(A29="COMPOSICAO",S!$A:$D,I!$A:$D),3,FALSE)</f>
        <v>H</v>
      </c>
      <c r="H29" s="18">
        <v>1</v>
      </c>
      <c r="I29" s="18">
        <f>IF(A29="COMPOSICAO",VLOOKUP("TOTAL - "&amp;B29,COMPOSICAO_AUX_3!$A:$J,10,FALSE),VLOOKUP(B29,I!$A:$D,4,FALSE))</f>
        <v>1.86</v>
      </c>
      <c r="J29" s="67">
        <f t="shared" si="0"/>
        <v>1.86</v>
      </c>
      <c r="K29" s="68"/>
    </row>
    <row r="30" spans="1:13" ht="15" customHeight="1" x14ac:dyDescent="0.3">
      <c r="A30" s="17" t="s">
        <v>70</v>
      </c>
      <c r="B30" s="19">
        <v>37371</v>
      </c>
      <c r="C30" s="64" t="str">
        <f>VLOOKUP(B30,IF(A30="COMPOSICAO",S!$A:$D,I!$A:$D),2,FALSE)</f>
        <v>TRANSPORTE - HORISTA (COLETADO CAIXA)</v>
      </c>
      <c r="D30" s="64"/>
      <c r="E30" s="64"/>
      <c r="F30" s="64"/>
      <c r="G30" s="17" t="str">
        <f>VLOOKUP(B30,IF(A30="COMPOSICAO",S!$A:$D,I!$A:$D),3,FALSE)</f>
        <v>H</v>
      </c>
      <c r="H30" s="18">
        <v>1</v>
      </c>
      <c r="I30" s="18">
        <f>IF(A30="COMPOSICAO",VLOOKUP("TOTAL - "&amp;B30,COMPOSICAO_AUX_3!$A:$J,10,FALSE),VLOOKUP(B30,I!$A:$D,4,FALSE))</f>
        <v>0.7</v>
      </c>
      <c r="J30" s="67">
        <f t="shared" si="0"/>
        <v>0.7</v>
      </c>
      <c r="K30" s="68"/>
    </row>
    <row r="31" spans="1:13" ht="15" customHeight="1" x14ac:dyDescent="0.3">
      <c r="A31" s="17" t="s">
        <v>70</v>
      </c>
      <c r="B31" s="19">
        <v>37372</v>
      </c>
      <c r="C31" s="64" t="str">
        <f>VLOOKUP(B31,IF(A31="COMPOSICAO",S!$A:$D,I!$A:$D),2,FALSE)</f>
        <v>EXAMES - HORISTA (COLETADO CAIXA)</v>
      </c>
      <c r="D31" s="64"/>
      <c r="E31" s="64"/>
      <c r="F31" s="64"/>
      <c r="G31" s="17" t="str">
        <f>VLOOKUP(B31,IF(A31="COMPOSICAO",S!$A:$D,I!$A:$D),3,FALSE)</f>
        <v>H</v>
      </c>
      <c r="H31" s="18">
        <v>1</v>
      </c>
      <c r="I31" s="18">
        <f>IF(A31="COMPOSICAO",VLOOKUP("TOTAL - "&amp;B31,COMPOSICAO_AUX_3!$A:$J,10,FALSE),VLOOKUP(B31,I!$A:$D,4,FALSE))</f>
        <v>0.55000000000000004</v>
      </c>
      <c r="J31" s="67">
        <f t="shared" si="0"/>
        <v>0.55000000000000004</v>
      </c>
      <c r="K31" s="68"/>
    </row>
    <row r="32" spans="1:13" ht="15" customHeight="1" x14ac:dyDescent="0.3">
      <c r="A32" s="17" t="s">
        <v>70</v>
      </c>
      <c r="B32" s="19">
        <v>37373</v>
      </c>
      <c r="C32" s="64" t="str">
        <f>VLOOKUP(B32,IF(A32="COMPOSICAO",S!$A:$D,I!$A:$D),2,FALSE)</f>
        <v>SEGURO - HORISTA (COLETADO CAIXA)</v>
      </c>
      <c r="D32" s="64"/>
      <c r="E32" s="64"/>
      <c r="F32" s="64"/>
      <c r="G32" s="17" t="str">
        <f>VLOOKUP(B32,IF(A32="COMPOSICAO",S!$A:$D,I!$A:$D),3,FALSE)</f>
        <v>H</v>
      </c>
      <c r="H32" s="18">
        <v>1</v>
      </c>
      <c r="I32" s="18">
        <f>IF(A32="COMPOSICAO",VLOOKUP("TOTAL - "&amp;B32,COMPOSICAO_AUX_3!$A:$J,10,FALSE),VLOOKUP(B32,I!$A:$D,4,FALSE))</f>
        <v>0.06</v>
      </c>
      <c r="J32" s="67">
        <f t="shared" si="0"/>
        <v>0.06</v>
      </c>
      <c r="K32" s="68"/>
    </row>
    <row r="33" spans="1:13" ht="45" customHeight="1" x14ac:dyDescent="0.3">
      <c r="A33" s="17" t="s">
        <v>70</v>
      </c>
      <c r="B33" s="19">
        <v>43459</v>
      </c>
      <c r="C33" s="64" t="str">
        <f>VLOOKUP(B33,IF(A33="COMPOSICAO",S!$A:$D,I!$A:$D),2,FALSE)</f>
        <v>FERRAMENTAS - FAMILIA CARPINTEIRO DE FORMAS - HORISTA (ENCARGOS COMPLEMENTARES - COLETADO CAIXA)</v>
      </c>
      <c r="D33" s="64"/>
      <c r="E33" s="64"/>
      <c r="F33" s="64"/>
      <c r="G33" s="17" t="str">
        <f>VLOOKUP(B33,IF(A33="COMPOSICAO",S!$A:$D,I!$A:$D),3,FALSE)</f>
        <v>H</v>
      </c>
      <c r="H33" s="18">
        <v>1</v>
      </c>
      <c r="I33" s="18">
        <f>IF(A33="COMPOSICAO",VLOOKUP("TOTAL - "&amp;B33,COMPOSICAO_AUX_3!$A:$J,10,FALSE),VLOOKUP(B33,I!$A:$D,4,FALSE))</f>
        <v>0.38</v>
      </c>
      <c r="J33" s="67">
        <f t="shared" si="0"/>
        <v>0.38</v>
      </c>
      <c r="K33" s="68"/>
    </row>
    <row r="34" spans="1:13" ht="30" customHeight="1" x14ac:dyDescent="0.3">
      <c r="A34" s="17" t="s">
        <v>70</v>
      </c>
      <c r="B34" s="19">
        <v>43483</v>
      </c>
      <c r="C34" s="64" t="str">
        <f>VLOOKUP(B34,IF(A34="COMPOSICAO",S!$A:$D,I!$A:$D),2,FALSE)</f>
        <v>EPI - FAMILIA CARPINTEIRO DE FORMAS - HORISTA (ENCARGOS COMPLEMENTARES - COLETADO CAIXA)</v>
      </c>
      <c r="D34" s="64"/>
      <c r="E34" s="64"/>
      <c r="F34" s="64"/>
      <c r="G34" s="17" t="str">
        <f>VLOOKUP(B34,IF(A34="COMPOSICAO",S!$A:$D,I!$A:$D),3,FALSE)</f>
        <v>H</v>
      </c>
      <c r="H34" s="18">
        <v>1</v>
      </c>
      <c r="I34" s="18">
        <f>IF(A34="COMPOSICAO",VLOOKUP("TOTAL - "&amp;B34,COMPOSICAO_AUX_3!$A:$J,10,FALSE),VLOOKUP(B34,I!$A:$D,4,FALSE))</f>
        <v>1.05</v>
      </c>
      <c r="J34" s="67">
        <f t="shared" si="0"/>
        <v>1.05</v>
      </c>
      <c r="K34" s="68"/>
    </row>
    <row r="35" spans="1:13" ht="30" customHeight="1" x14ac:dyDescent="0.3">
      <c r="A35" s="17" t="s">
        <v>71</v>
      </c>
      <c r="B35" s="19">
        <v>95309</v>
      </c>
      <c r="C35" s="64" t="str">
        <f>VLOOKUP(B35,IF(A35="COMPOSICAO",S!$A:$D,I!$A:$D),2,FALSE)</f>
        <v>CURSO DE CAPACITAÇÃO PARA AJUDANTE DE CARPINTEIRO (ENCARGOS COMPLEMENTARES) - HORISTA</v>
      </c>
      <c r="D35" s="64"/>
      <c r="E35" s="64"/>
      <c r="F35" s="64"/>
      <c r="G35" s="17" t="str">
        <f>VLOOKUP(B35,IF(A35="COMPOSICAO",S!$A:$D,I!$A:$D),3,FALSE)</f>
        <v>H</v>
      </c>
      <c r="H35" s="18">
        <v>1</v>
      </c>
      <c r="I35" s="18">
        <f>IF(A35="COMPOSICAO",VLOOKUP("TOTAL - "&amp;B35,COMPOSICAO_AUX_3!$A:$J,10,FALSE),VLOOKUP(B35,I!$A:$D,4,FALSE))</f>
        <v>0.12</v>
      </c>
      <c r="J35" s="67">
        <f t="shared" si="0"/>
        <v>0.12</v>
      </c>
      <c r="K35" s="68"/>
    </row>
    <row r="36" spans="1:13" ht="15" customHeight="1" x14ac:dyDescent="0.3">
      <c r="A36" s="22" t="s">
        <v>105</v>
      </c>
      <c r="B36" s="23"/>
      <c r="C36" s="23"/>
      <c r="D36" s="23"/>
      <c r="E36" s="23"/>
      <c r="F36" s="23"/>
      <c r="G36" s="24"/>
      <c r="H36" s="25"/>
      <c r="I36" s="26"/>
      <c r="J36" s="67">
        <f>SUM(J27:K35)</f>
        <v>16.470000000000002</v>
      </c>
      <c r="K36" s="68"/>
    </row>
    <row r="37" spans="1:13" ht="15" customHeight="1" x14ac:dyDescent="0.3">
      <c r="A37" s="3"/>
      <c r="B37" s="3"/>
      <c r="C37" s="3"/>
      <c r="D37" s="3"/>
      <c r="E37" s="3"/>
      <c r="F37" s="3"/>
      <c r="G37" s="3"/>
      <c r="H37" s="3"/>
      <c r="I37" s="3"/>
      <c r="J37" s="3"/>
      <c r="K37" s="3"/>
    </row>
    <row r="38" spans="1:13" ht="15" customHeight="1" x14ac:dyDescent="0.3">
      <c r="A38" s="10" t="s">
        <v>63</v>
      </c>
      <c r="B38" s="10" t="s">
        <v>24</v>
      </c>
      <c r="C38" s="75" t="s">
        <v>8</v>
      </c>
      <c r="D38" s="76"/>
      <c r="E38" s="76"/>
      <c r="F38" s="76"/>
      <c r="G38" s="6" t="s">
        <v>25</v>
      </c>
      <c r="H38" s="6" t="s">
        <v>64</v>
      </c>
      <c r="I38" s="6" t="s">
        <v>65</v>
      </c>
      <c r="J38" s="62" t="s">
        <v>10</v>
      </c>
      <c r="K38" s="63"/>
    </row>
    <row r="39" spans="1:13" ht="30" customHeight="1" x14ac:dyDescent="0.3">
      <c r="A39" s="6" t="s">
        <v>87</v>
      </c>
      <c r="B39" s="27">
        <v>88261</v>
      </c>
      <c r="C39" s="84" t="str">
        <f>VLOOKUP(B39,S!$A:$D,2,FALSE)</f>
        <v>CARPINTEIRO DE ESQUADRIA COM ENCARGOS COMPLEMENTARES</v>
      </c>
      <c r="D39" s="84"/>
      <c r="E39" s="84"/>
      <c r="F39" s="85"/>
      <c r="G39" s="6" t="str">
        <f>VLOOKUP(B39,S!$A:$D,3,FALSE)</f>
        <v>H</v>
      </c>
      <c r="H39" s="20"/>
      <c r="I39" s="20">
        <f>J48</f>
        <v>18.759999999999998</v>
      </c>
      <c r="J39" s="70"/>
      <c r="K39" s="71"/>
      <c r="L39" s="20">
        <f>VLOOKUP(B39,S!$A:$D,4,FALSE)</f>
        <v>18.760000000000002</v>
      </c>
      <c r="M39" s="6" t="str">
        <f>IF(ROUND((L39-I39),2)=0,"OK, confere com a tabela.",IF(ROUND((L39-I39),2)&lt;0,"ACIMA ("&amp;TEXT(ROUND(I39*100/L39,4),"0,0000")&amp;" %) da tabela.","ABAIXO ("&amp;TEXT(ROUND(I39*100/L39,4),"0,0000")&amp;" %) da tabela."))</f>
        <v>OK, confere com a tabela.</v>
      </c>
    </row>
    <row r="40" spans="1:13" ht="15" customHeight="1" x14ac:dyDescent="0.3">
      <c r="A40" s="17" t="s">
        <v>70</v>
      </c>
      <c r="B40" s="19">
        <v>1214</v>
      </c>
      <c r="C40" s="64" t="str">
        <f>VLOOKUP(B40,IF(A40="COMPOSICAO",S!$A:$D,I!$A:$D),2,FALSE)</f>
        <v>CARPINTEIRO DE ESQUADRIAS</v>
      </c>
      <c r="D40" s="64"/>
      <c r="E40" s="64"/>
      <c r="F40" s="64"/>
      <c r="G40" s="17" t="str">
        <f>VLOOKUP(B40,IF(A40="COMPOSICAO",S!$A:$D,I!$A:$D),3,FALSE)</f>
        <v>H</v>
      </c>
      <c r="H40" s="18">
        <v>1</v>
      </c>
      <c r="I40" s="18">
        <f>IF(A40="COMPOSICAO",VLOOKUP("TOTAL - "&amp;B40,COMPOSICAO_AUX_3!$A:$J,10,FALSE),VLOOKUP(B40,I!$A:$D,4,FALSE))</f>
        <v>14.02</v>
      </c>
      <c r="J40" s="67">
        <f t="shared" ref="J40:J47" si="1">TRUNC(H40*I40,2)</f>
        <v>14.02</v>
      </c>
      <c r="K40" s="68"/>
    </row>
    <row r="41" spans="1:13" ht="15" customHeight="1" x14ac:dyDescent="0.3">
      <c r="A41" s="17" t="s">
        <v>70</v>
      </c>
      <c r="B41" s="19">
        <v>37370</v>
      </c>
      <c r="C41" s="64" t="str">
        <f>VLOOKUP(B41,IF(A41="COMPOSICAO",S!$A:$D,I!$A:$D),2,FALSE)</f>
        <v>ALIMENTACAO - HORISTA (COLETADO CAIXA)</v>
      </c>
      <c r="D41" s="64"/>
      <c r="E41" s="64"/>
      <c r="F41" s="64"/>
      <c r="G41" s="17" t="str">
        <f>VLOOKUP(B41,IF(A41="COMPOSICAO",S!$A:$D,I!$A:$D),3,FALSE)</f>
        <v>H</v>
      </c>
      <c r="H41" s="18">
        <v>1</v>
      </c>
      <c r="I41" s="18">
        <f>IF(A41="COMPOSICAO",VLOOKUP("TOTAL - "&amp;B41,COMPOSICAO_AUX_3!$A:$J,10,FALSE),VLOOKUP(B41,I!$A:$D,4,FALSE))</f>
        <v>1.86</v>
      </c>
      <c r="J41" s="67">
        <f t="shared" si="1"/>
        <v>1.86</v>
      </c>
      <c r="K41" s="68"/>
    </row>
    <row r="42" spans="1:13" ht="15" customHeight="1" x14ac:dyDescent="0.3">
      <c r="A42" s="17" t="s">
        <v>70</v>
      </c>
      <c r="B42" s="19">
        <v>37371</v>
      </c>
      <c r="C42" s="64" t="str">
        <f>VLOOKUP(B42,IF(A42="COMPOSICAO",S!$A:$D,I!$A:$D),2,FALSE)</f>
        <v>TRANSPORTE - HORISTA (COLETADO CAIXA)</v>
      </c>
      <c r="D42" s="64"/>
      <c r="E42" s="64"/>
      <c r="F42" s="64"/>
      <c r="G42" s="17" t="str">
        <f>VLOOKUP(B42,IF(A42="COMPOSICAO",S!$A:$D,I!$A:$D),3,FALSE)</f>
        <v>H</v>
      </c>
      <c r="H42" s="18">
        <v>1</v>
      </c>
      <c r="I42" s="18">
        <f>IF(A42="COMPOSICAO",VLOOKUP("TOTAL - "&amp;B42,COMPOSICAO_AUX_3!$A:$J,10,FALSE),VLOOKUP(B42,I!$A:$D,4,FALSE))</f>
        <v>0.7</v>
      </c>
      <c r="J42" s="67">
        <f t="shared" si="1"/>
        <v>0.7</v>
      </c>
      <c r="K42" s="68"/>
    </row>
    <row r="43" spans="1:13" ht="15" customHeight="1" x14ac:dyDescent="0.3">
      <c r="A43" s="17" t="s">
        <v>70</v>
      </c>
      <c r="B43" s="19">
        <v>37372</v>
      </c>
      <c r="C43" s="64" t="str">
        <f>VLOOKUP(B43,IF(A43="COMPOSICAO",S!$A:$D,I!$A:$D),2,FALSE)</f>
        <v>EXAMES - HORISTA (COLETADO CAIXA)</v>
      </c>
      <c r="D43" s="64"/>
      <c r="E43" s="64"/>
      <c r="F43" s="64"/>
      <c r="G43" s="17" t="str">
        <f>VLOOKUP(B43,IF(A43="COMPOSICAO",S!$A:$D,I!$A:$D),3,FALSE)</f>
        <v>H</v>
      </c>
      <c r="H43" s="18">
        <v>1</v>
      </c>
      <c r="I43" s="18">
        <f>IF(A43="COMPOSICAO",VLOOKUP("TOTAL - "&amp;B43,COMPOSICAO_AUX_3!$A:$J,10,FALSE),VLOOKUP(B43,I!$A:$D,4,FALSE))</f>
        <v>0.55000000000000004</v>
      </c>
      <c r="J43" s="67">
        <f t="shared" si="1"/>
        <v>0.55000000000000004</v>
      </c>
      <c r="K43" s="68"/>
    </row>
    <row r="44" spans="1:13" ht="15" customHeight="1" x14ac:dyDescent="0.3">
      <c r="A44" s="17" t="s">
        <v>70</v>
      </c>
      <c r="B44" s="19">
        <v>37373</v>
      </c>
      <c r="C44" s="64" t="str">
        <f>VLOOKUP(B44,IF(A44="COMPOSICAO",S!$A:$D,I!$A:$D),2,FALSE)</f>
        <v>SEGURO - HORISTA (COLETADO CAIXA)</v>
      </c>
      <c r="D44" s="64"/>
      <c r="E44" s="64"/>
      <c r="F44" s="64"/>
      <c r="G44" s="17" t="str">
        <f>VLOOKUP(B44,IF(A44="COMPOSICAO",S!$A:$D,I!$A:$D),3,FALSE)</f>
        <v>H</v>
      </c>
      <c r="H44" s="18">
        <v>1</v>
      </c>
      <c r="I44" s="18">
        <f>IF(A44="COMPOSICAO",VLOOKUP("TOTAL - "&amp;B44,COMPOSICAO_AUX_3!$A:$J,10,FALSE),VLOOKUP(B44,I!$A:$D,4,FALSE))</f>
        <v>0.06</v>
      </c>
      <c r="J44" s="67">
        <f t="shared" si="1"/>
        <v>0.06</v>
      </c>
      <c r="K44" s="68"/>
    </row>
    <row r="45" spans="1:13" ht="45" customHeight="1" x14ac:dyDescent="0.3">
      <c r="A45" s="17" t="s">
        <v>70</v>
      </c>
      <c r="B45" s="19">
        <v>43459</v>
      </c>
      <c r="C45" s="64" t="str">
        <f>VLOOKUP(B45,IF(A45="COMPOSICAO",S!$A:$D,I!$A:$D),2,FALSE)</f>
        <v>FERRAMENTAS - FAMILIA CARPINTEIRO DE FORMAS - HORISTA (ENCARGOS COMPLEMENTARES - COLETADO CAIXA)</v>
      </c>
      <c r="D45" s="64"/>
      <c r="E45" s="64"/>
      <c r="F45" s="64"/>
      <c r="G45" s="17" t="str">
        <f>VLOOKUP(B45,IF(A45="COMPOSICAO",S!$A:$D,I!$A:$D),3,FALSE)</f>
        <v>H</v>
      </c>
      <c r="H45" s="18">
        <v>1</v>
      </c>
      <c r="I45" s="18">
        <f>IF(A45="COMPOSICAO",VLOOKUP("TOTAL - "&amp;B45,COMPOSICAO_AUX_3!$A:$J,10,FALSE),VLOOKUP(B45,I!$A:$D,4,FALSE))</f>
        <v>0.38</v>
      </c>
      <c r="J45" s="67">
        <f t="shared" si="1"/>
        <v>0.38</v>
      </c>
      <c r="K45" s="68"/>
    </row>
    <row r="46" spans="1:13" ht="30" customHeight="1" x14ac:dyDescent="0.3">
      <c r="A46" s="17" t="s">
        <v>70</v>
      </c>
      <c r="B46" s="19">
        <v>43483</v>
      </c>
      <c r="C46" s="64" t="str">
        <f>VLOOKUP(B46,IF(A46="COMPOSICAO",S!$A:$D,I!$A:$D),2,FALSE)</f>
        <v>EPI - FAMILIA CARPINTEIRO DE FORMAS - HORISTA (ENCARGOS COMPLEMENTARES - COLETADO CAIXA)</v>
      </c>
      <c r="D46" s="64"/>
      <c r="E46" s="64"/>
      <c r="F46" s="64"/>
      <c r="G46" s="17" t="str">
        <f>VLOOKUP(B46,IF(A46="COMPOSICAO",S!$A:$D,I!$A:$D),3,FALSE)</f>
        <v>H</v>
      </c>
      <c r="H46" s="18">
        <v>1</v>
      </c>
      <c r="I46" s="18">
        <f>IF(A46="COMPOSICAO",VLOOKUP("TOTAL - "&amp;B46,COMPOSICAO_AUX_3!$A:$J,10,FALSE),VLOOKUP(B46,I!$A:$D,4,FALSE))</f>
        <v>1.05</v>
      </c>
      <c r="J46" s="67">
        <f t="shared" si="1"/>
        <v>1.05</v>
      </c>
      <c r="K46" s="68"/>
    </row>
    <row r="47" spans="1:13" ht="30" customHeight="1" x14ac:dyDescent="0.3">
      <c r="A47" s="17" t="s">
        <v>71</v>
      </c>
      <c r="B47" s="19">
        <v>95329</v>
      </c>
      <c r="C47" s="64" t="str">
        <f>VLOOKUP(B47,IF(A47="COMPOSICAO",S!$A:$D,I!$A:$D),2,FALSE)</f>
        <v>CURSO DE CAPACITAÇÃO PARA CARPINTEIRO DE ESQUADRIA (ENCARGOS COMPLEMENTARES) - HORISTA</v>
      </c>
      <c r="D47" s="64"/>
      <c r="E47" s="64"/>
      <c r="F47" s="64"/>
      <c r="G47" s="17" t="str">
        <f>VLOOKUP(B47,IF(A47="COMPOSICAO",S!$A:$D,I!$A:$D),3,FALSE)</f>
        <v>H</v>
      </c>
      <c r="H47" s="18">
        <v>1</v>
      </c>
      <c r="I47" s="18">
        <f>IF(A47="COMPOSICAO",VLOOKUP("TOTAL - "&amp;B47,COMPOSICAO_AUX_3!$A:$J,10,FALSE),VLOOKUP(B47,I!$A:$D,4,FALSE))</f>
        <v>0.14000000000000001</v>
      </c>
      <c r="J47" s="67">
        <f t="shared" si="1"/>
        <v>0.14000000000000001</v>
      </c>
      <c r="K47" s="68"/>
    </row>
    <row r="48" spans="1:13" ht="15" customHeight="1" x14ac:dyDescent="0.3">
      <c r="A48" s="22" t="s">
        <v>106</v>
      </c>
      <c r="B48" s="23"/>
      <c r="C48" s="23"/>
      <c r="D48" s="23"/>
      <c r="E48" s="23"/>
      <c r="F48" s="23"/>
      <c r="G48" s="24"/>
      <c r="H48" s="25"/>
      <c r="I48" s="26"/>
      <c r="J48" s="67">
        <f>SUM(J39:K47)</f>
        <v>18.759999999999998</v>
      </c>
      <c r="K48" s="68"/>
    </row>
    <row r="49" spans="1:13" ht="15" customHeight="1" x14ac:dyDescent="0.3">
      <c r="A49" s="3"/>
      <c r="B49" s="3"/>
      <c r="C49" s="3"/>
      <c r="D49" s="3"/>
      <c r="E49" s="3"/>
      <c r="F49" s="3"/>
      <c r="G49" s="3"/>
      <c r="H49" s="3"/>
      <c r="I49" s="3"/>
      <c r="J49" s="3"/>
      <c r="K49" s="3"/>
    </row>
    <row r="50" spans="1:13" ht="15" customHeight="1" x14ac:dyDescent="0.3">
      <c r="A50" s="10" t="s">
        <v>63</v>
      </c>
      <c r="B50" s="10" t="s">
        <v>24</v>
      </c>
      <c r="C50" s="75" t="s">
        <v>8</v>
      </c>
      <c r="D50" s="76"/>
      <c r="E50" s="76"/>
      <c r="F50" s="76"/>
      <c r="G50" s="6" t="s">
        <v>25</v>
      </c>
      <c r="H50" s="6" t="s">
        <v>64</v>
      </c>
      <c r="I50" s="6" t="s">
        <v>65</v>
      </c>
      <c r="J50" s="62" t="s">
        <v>10</v>
      </c>
      <c r="K50" s="63"/>
    </row>
    <row r="51" spans="1:13" ht="15" customHeight="1" x14ac:dyDescent="0.3">
      <c r="A51" s="6" t="s">
        <v>87</v>
      </c>
      <c r="B51" s="27">
        <v>88309</v>
      </c>
      <c r="C51" s="84" t="str">
        <f>VLOOKUP(B51,S!$A:$D,2,FALSE)</f>
        <v>PEDREIRO COM ENCARGOS COMPLEMENTARES</v>
      </c>
      <c r="D51" s="84"/>
      <c r="E51" s="84"/>
      <c r="F51" s="85"/>
      <c r="G51" s="6" t="str">
        <f>VLOOKUP(B51,S!$A:$D,3,FALSE)</f>
        <v>H</v>
      </c>
      <c r="H51" s="20"/>
      <c r="I51" s="20">
        <f>J60</f>
        <v>19.849999999999994</v>
      </c>
      <c r="J51" s="70"/>
      <c r="K51" s="71"/>
      <c r="L51" s="20">
        <f>VLOOKUP(B51,S!$A:$D,4,FALSE)</f>
        <v>19.850000000000001</v>
      </c>
      <c r="M51" s="6" t="str">
        <f>IF(ROUND((L51-I51),2)=0,"OK, confere com a tabela.",IF(ROUND((L51-I51),2)&lt;0,"ACIMA ("&amp;TEXT(ROUND(I51*100/L51,4),"0,0000")&amp;" %) da tabela.","ABAIXO ("&amp;TEXT(ROUND(I51*100/L51,4),"0,0000")&amp;" %) da tabela."))</f>
        <v>OK, confere com a tabela.</v>
      </c>
    </row>
    <row r="52" spans="1:13" ht="15" customHeight="1" x14ac:dyDescent="0.3">
      <c r="A52" s="17" t="s">
        <v>70</v>
      </c>
      <c r="B52" s="19">
        <v>4750</v>
      </c>
      <c r="C52" s="64" t="str">
        <f>VLOOKUP(B52,IF(A52="COMPOSICAO",S!$A:$D,I!$A:$D),2,FALSE)</f>
        <v>PEDREIRO</v>
      </c>
      <c r="D52" s="64"/>
      <c r="E52" s="64"/>
      <c r="F52" s="64"/>
      <c r="G52" s="17" t="str">
        <f>VLOOKUP(B52,IF(A52="COMPOSICAO",S!$A:$D,I!$A:$D),3,FALSE)</f>
        <v>H</v>
      </c>
      <c r="H52" s="18">
        <v>1</v>
      </c>
      <c r="I52" s="18">
        <f>IF(A52="COMPOSICAO",VLOOKUP("TOTAL - "&amp;B52,COMPOSICAO_AUX_3!$A:$J,10,FALSE),VLOOKUP(B52,I!$A:$D,4,FALSE))</f>
        <v>14.93</v>
      </c>
      <c r="J52" s="67">
        <f t="shared" ref="J52:J59" si="2">TRUNC(H52*I52,2)</f>
        <v>14.93</v>
      </c>
      <c r="K52" s="68"/>
    </row>
    <row r="53" spans="1:13" ht="15" customHeight="1" x14ac:dyDescent="0.3">
      <c r="A53" s="17" t="s">
        <v>70</v>
      </c>
      <c r="B53" s="19">
        <v>37370</v>
      </c>
      <c r="C53" s="64" t="str">
        <f>VLOOKUP(B53,IF(A53="COMPOSICAO",S!$A:$D,I!$A:$D),2,FALSE)</f>
        <v>ALIMENTACAO - HORISTA (COLETADO CAIXA)</v>
      </c>
      <c r="D53" s="64"/>
      <c r="E53" s="64"/>
      <c r="F53" s="64"/>
      <c r="G53" s="17" t="str">
        <f>VLOOKUP(B53,IF(A53="COMPOSICAO",S!$A:$D,I!$A:$D),3,FALSE)</f>
        <v>H</v>
      </c>
      <c r="H53" s="18">
        <v>1</v>
      </c>
      <c r="I53" s="18">
        <f>IF(A53="COMPOSICAO",VLOOKUP("TOTAL - "&amp;B53,COMPOSICAO_AUX_3!$A:$J,10,FALSE),VLOOKUP(B53,I!$A:$D,4,FALSE))</f>
        <v>1.86</v>
      </c>
      <c r="J53" s="67">
        <f t="shared" si="2"/>
        <v>1.86</v>
      </c>
      <c r="K53" s="68"/>
    </row>
    <row r="54" spans="1:13" ht="15" customHeight="1" x14ac:dyDescent="0.3">
      <c r="A54" s="17" t="s">
        <v>70</v>
      </c>
      <c r="B54" s="19">
        <v>37371</v>
      </c>
      <c r="C54" s="64" t="str">
        <f>VLOOKUP(B54,IF(A54="COMPOSICAO",S!$A:$D,I!$A:$D),2,FALSE)</f>
        <v>TRANSPORTE - HORISTA (COLETADO CAIXA)</v>
      </c>
      <c r="D54" s="64"/>
      <c r="E54" s="64"/>
      <c r="F54" s="64"/>
      <c r="G54" s="17" t="str">
        <f>VLOOKUP(B54,IF(A54="COMPOSICAO",S!$A:$D,I!$A:$D),3,FALSE)</f>
        <v>H</v>
      </c>
      <c r="H54" s="18">
        <v>1</v>
      </c>
      <c r="I54" s="18">
        <f>IF(A54="COMPOSICAO",VLOOKUP("TOTAL - "&amp;B54,COMPOSICAO_AUX_3!$A:$J,10,FALSE),VLOOKUP(B54,I!$A:$D,4,FALSE))</f>
        <v>0.7</v>
      </c>
      <c r="J54" s="67">
        <f t="shared" si="2"/>
        <v>0.7</v>
      </c>
      <c r="K54" s="68"/>
    </row>
    <row r="55" spans="1:13" ht="15" customHeight="1" x14ac:dyDescent="0.3">
      <c r="A55" s="17" t="s">
        <v>70</v>
      </c>
      <c r="B55" s="19">
        <v>37372</v>
      </c>
      <c r="C55" s="64" t="str">
        <f>VLOOKUP(B55,IF(A55="COMPOSICAO",S!$A:$D,I!$A:$D),2,FALSE)</f>
        <v>EXAMES - HORISTA (COLETADO CAIXA)</v>
      </c>
      <c r="D55" s="64"/>
      <c r="E55" s="64"/>
      <c r="F55" s="64"/>
      <c r="G55" s="17" t="str">
        <f>VLOOKUP(B55,IF(A55="COMPOSICAO",S!$A:$D,I!$A:$D),3,FALSE)</f>
        <v>H</v>
      </c>
      <c r="H55" s="18">
        <v>1</v>
      </c>
      <c r="I55" s="18">
        <f>IF(A55="COMPOSICAO",VLOOKUP("TOTAL - "&amp;B55,COMPOSICAO_AUX_3!$A:$J,10,FALSE),VLOOKUP(B55,I!$A:$D,4,FALSE))</f>
        <v>0.55000000000000004</v>
      </c>
      <c r="J55" s="67">
        <f t="shared" si="2"/>
        <v>0.55000000000000004</v>
      </c>
      <c r="K55" s="68"/>
    </row>
    <row r="56" spans="1:13" ht="15" customHeight="1" x14ac:dyDescent="0.3">
      <c r="A56" s="17" t="s">
        <v>70</v>
      </c>
      <c r="B56" s="19">
        <v>37373</v>
      </c>
      <c r="C56" s="64" t="str">
        <f>VLOOKUP(B56,IF(A56="COMPOSICAO",S!$A:$D,I!$A:$D),2,FALSE)</f>
        <v>SEGURO - HORISTA (COLETADO CAIXA)</v>
      </c>
      <c r="D56" s="64"/>
      <c r="E56" s="64"/>
      <c r="F56" s="64"/>
      <c r="G56" s="17" t="str">
        <f>VLOOKUP(B56,IF(A56="COMPOSICAO",S!$A:$D,I!$A:$D),3,FALSE)</f>
        <v>H</v>
      </c>
      <c r="H56" s="18">
        <v>1</v>
      </c>
      <c r="I56" s="18">
        <f>IF(A56="COMPOSICAO",VLOOKUP("TOTAL - "&amp;B56,COMPOSICAO_AUX_3!$A:$J,10,FALSE),VLOOKUP(B56,I!$A:$D,4,FALSE))</f>
        <v>0.06</v>
      </c>
      <c r="J56" s="67">
        <f t="shared" si="2"/>
        <v>0.06</v>
      </c>
      <c r="K56" s="68"/>
    </row>
    <row r="57" spans="1:13" ht="30" customHeight="1" x14ac:dyDescent="0.3">
      <c r="A57" s="17" t="s">
        <v>70</v>
      </c>
      <c r="B57" s="19">
        <v>43465</v>
      </c>
      <c r="C57" s="64" t="str">
        <f>VLOOKUP(B57,IF(A57="COMPOSICAO",S!$A:$D,I!$A:$D),2,FALSE)</f>
        <v>FERRAMENTAS - FAMILIA PEDREIRO - HORISTA (ENCARGOS COMPLEMENTARES - COLETADO CAIXA)</v>
      </c>
      <c r="D57" s="64"/>
      <c r="E57" s="64"/>
      <c r="F57" s="64"/>
      <c r="G57" s="17" t="str">
        <f>VLOOKUP(B57,IF(A57="COMPOSICAO",S!$A:$D,I!$A:$D),3,FALSE)</f>
        <v>H</v>
      </c>
      <c r="H57" s="18">
        <v>1</v>
      </c>
      <c r="I57" s="18">
        <f>IF(A57="COMPOSICAO",VLOOKUP("TOTAL - "&amp;B57,COMPOSICAO_AUX_3!$A:$J,10,FALSE),VLOOKUP(B57,I!$A:$D,4,FALSE))</f>
        <v>0.57999999999999996</v>
      </c>
      <c r="J57" s="67">
        <f t="shared" si="2"/>
        <v>0.57999999999999996</v>
      </c>
      <c r="K57" s="68"/>
    </row>
    <row r="58" spans="1:13" ht="30" customHeight="1" x14ac:dyDescent="0.3">
      <c r="A58" s="17" t="s">
        <v>70</v>
      </c>
      <c r="B58" s="19">
        <v>43489</v>
      </c>
      <c r="C58" s="64" t="str">
        <f>VLOOKUP(B58,IF(A58="COMPOSICAO",S!$A:$D,I!$A:$D),2,FALSE)</f>
        <v>EPI - FAMILIA PEDREIRO - HORISTA (ENCARGOS COMPLEMENTARES - COLETADO CAIXA)</v>
      </c>
      <c r="D58" s="64"/>
      <c r="E58" s="64"/>
      <c r="F58" s="64"/>
      <c r="G58" s="17" t="str">
        <f>VLOOKUP(B58,IF(A58="COMPOSICAO",S!$A:$D,I!$A:$D),3,FALSE)</f>
        <v>H</v>
      </c>
      <c r="H58" s="18">
        <v>1</v>
      </c>
      <c r="I58" s="18">
        <f>IF(A58="COMPOSICAO",VLOOKUP("TOTAL - "&amp;B58,COMPOSICAO_AUX_3!$A:$J,10,FALSE),VLOOKUP(B58,I!$A:$D,4,FALSE))</f>
        <v>0.95</v>
      </c>
      <c r="J58" s="67">
        <f t="shared" si="2"/>
        <v>0.95</v>
      </c>
      <c r="K58" s="68"/>
    </row>
    <row r="59" spans="1:13" ht="30" customHeight="1" x14ac:dyDescent="0.3">
      <c r="A59" s="17" t="s">
        <v>71</v>
      </c>
      <c r="B59" s="19">
        <v>95371</v>
      </c>
      <c r="C59" s="64" t="str">
        <f>VLOOKUP(B59,IF(A59="COMPOSICAO",S!$A:$D,I!$A:$D),2,FALSE)</f>
        <v>CURSO DE CAPACITAÇÃO PARA PEDREIRO (ENCARGOS COMPLEMENTARES) - HORISTA</v>
      </c>
      <c r="D59" s="64"/>
      <c r="E59" s="64"/>
      <c r="F59" s="64"/>
      <c r="G59" s="17" t="str">
        <f>VLOOKUP(B59,IF(A59="COMPOSICAO",S!$A:$D,I!$A:$D),3,FALSE)</f>
        <v>H</v>
      </c>
      <c r="H59" s="18">
        <v>1</v>
      </c>
      <c r="I59" s="18">
        <f>IF(A59="COMPOSICAO",VLOOKUP("TOTAL - "&amp;B59,COMPOSICAO_AUX_3!$A:$J,10,FALSE),VLOOKUP(B59,I!$A:$D,4,FALSE))</f>
        <v>0.22</v>
      </c>
      <c r="J59" s="67">
        <f t="shared" si="2"/>
        <v>0.22</v>
      </c>
      <c r="K59" s="68"/>
    </row>
    <row r="60" spans="1:13" ht="15" customHeight="1" x14ac:dyDescent="0.3">
      <c r="A60" s="22" t="s">
        <v>90</v>
      </c>
      <c r="B60" s="23"/>
      <c r="C60" s="23"/>
      <c r="D60" s="23"/>
      <c r="E60" s="23"/>
      <c r="F60" s="23"/>
      <c r="G60" s="24"/>
      <c r="H60" s="25"/>
      <c r="I60" s="26"/>
      <c r="J60" s="67">
        <f>SUM(J51:K59)</f>
        <v>19.849999999999994</v>
      </c>
      <c r="K60" s="68"/>
    </row>
    <row r="61" spans="1:13" ht="15" customHeight="1" x14ac:dyDescent="0.3">
      <c r="A61" s="3"/>
      <c r="B61" s="3"/>
      <c r="C61" s="3"/>
      <c r="D61" s="3"/>
      <c r="E61" s="3"/>
      <c r="F61" s="3"/>
      <c r="G61" s="3"/>
      <c r="H61" s="3"/>
      <c r="I61" s="3"/>
      <c r="J61" s="3"/>
      <c r="K61" s="3"/>
    </row>
    <row r="62" spans="1:13" ht="15" customHeight="1" x14ac:dyDescent="0.3">
      <c r="A62" s="10" t="s">
        <v>63</v>
      </c>
      <c r="B62" s="10" t="s">
        <v>24</v>
      </c>
      <c r="C62" s="75" t="s">
        <v>8</v>
      </c>
      <c r="D62" s="76"/>
      <c r="E62" s="76"/>
      <c r="F62" s="76"/>
      <c r="G62" s="6" t="s">
        <v>25</v>
      </c>
      <c r="H62" s="6" t="s">
        <v>64</v>
      </c>
      <c r="I62" s="6" t="s">
        <v>65</v>
      </c>
      <c r="J62" s="62" t="s">
        <v>10</v>
      </c>
      <c r="K62" s="63"/>
    </row>
    <row r="63" spans="1:13" ht="15" customHeight="1" x14ac:dyDescent="0.3">
      <c r="A63" s="6" t="s">
        <v>87</v>
      </c>
      <c r="B63" s="27">
        <v>88316</v>
      </c>
      <c r="C63" s="84" t="str">
        <f>VLOOKUP(B63,S!$A:$D,2,FALSE)</f>
        <v>SERVENTE COM ENCARGOS COMPLEMENTARES</v>
      </c>
      <c r="D63" s="84"/>
      <c r="E63" s="84"/>
      <c r="F63" s="85"/>
      <c r="G63" s="6" t="str">
        <f>VLOOKUP(B63,S!$A:$D,3,FALSE)</f>
        <v>H</v>
      </c>
      <c r="H63" s="20"/>
      <c r="I63" s="20">
        <f>J72</f>
        <v>15.35</v>
      </c>
      <c r="J63" s="70"/>
      <c r="K63" s="71"/>
      <c r="L63" s="20">
        <f>VLOOKUP(B63,S!$A:$D,4,FALSE)</f>
        <v>15.35</v>
      </c>
      <c r="M63" s="6" t="str">
        <f>IF(ROUND((L63-I63),2)=0,"OK, confere com a tabela.",IF(ROUND((L63-I63),2)&lt;0,"ACIMA ("&amp;TEXT(ROUND(I63*100/L63,4),"0,0000")&amp;" %) da tabela.","ABAIXO ("&amp;TEXT(ROUND(I63*100/L63,4),"0,0000")&amp;" %) da tabela."))</f>
        <v>OK, confere com a tabela.</v>
      </c>
    </row>
    <row r="64" spans="1:13" ht="15" customHeight="1" x14ac:dyDescent="0.3">
      <c r="A64" s="17" t="s">
        <v>70</v>
      </c>
      <c r="B64" s="19">
        <v>6111</v>
      </c>
      <c r="C64" s="64" t="str">
        <f>VLOOKUP(B64,IF(A64="COMPOSICAO",S!$A:$D,I!$A:$D),2,FALSE)</f>
        <v>SERVENTE DE OBRAS</v>
      </c>
      <c r="D64" s="64"/>
      <c r="E64" s="64"/>
      <c r="F64" s="64"/>
      <c r="G64" s="17" t="str">
        <f>VLOOKUP(B64,IF(A64="COMPOSICAO",S!$A:$D,I!$A:$D),3,FALSE)</f>
        <v>H</v>
      </c>
      <c r="H64" s="18">
        <v>1</v>
      </c>
      <c r="I64" s="18">
        <f>IF(A64="COMPOSICAO",VLOOKUP("TOTAL - "&amp;B64,COMPOSICAO_AUX_3!$A:$J,10,FALSE),VLOOKUP(B64,I!$A:$D,4,FALSE))</f>
        <v>10.6</v>
      </c>
      <c r="J64" s="67">
        <f t="shared" ref="J64:J71" si="3">TRUNC(H64*I64,2)</f>
        <v>10.6</v>
      </c>
      <c r="K64" s="68"/>
    </row>
    <row r="65" spans="1:13" ht="15" customHeight="1" x14ac:dyDescent="0.3">
      <c r="A65" s="17" t="s">
        <v>70</v>
      </c>
      <c r="B65" s="19">
        <v>37370</v>
      </c>
      <c r="C65" s="64" t="str">
        <f>VLOOKUP(B65,IF(A65="COMPOSICAO",S!$A:$D,I!$A:$D),2,FALSE)</f>
        <v>ALIMENTACAO - HORISTA (COLETADO CAIXA)</v>
      </c>
      <c r="D65" s="64"/>
      <c r="E65" s="64"/>
      <c r="F65" s="64"/>
      <c r="G65" s="17" t="str">
        <f>VLOOKUP(B65,IF(A65="COMPOSICAO",S!$A:$D,I!$A:$D),3,FALSE)</f>
        <v>H</v>
      </c>
      <c r="H65" s="18">
        <v>1</v>
      </c>
      <c r="I65" s="18">
        <f>IF(A65="COMPOSICAO",VLOOKUP("TOTAL - "&amp;B65,COMPOSICAO_AUX_3!$A:$J,10,FALSE),VLOOKUP(B65,I!$A:$D,4,FALSE))</f>
        <v>1.86</v>
      </c>
      <c r="J65" s="67">
        <f t="shared" si="3"/>
        <v>1.86</v>
      </c>
      <c r="K65" s="68"/>
    </row>
    <row r="66" spans="1:13" ht="15" customHeight="1" x14ac:dyDescent="0.3">
      <c r="A66" s="17" t="s">
        <v>70</v>
      </c>
      <c r="B66" s="19">
        <v>37371</v>
      </c>
      <c r="C66" s="64" t="str">
        <f>VLOOKUP(B66,IF(A66="COMPOSICAO",S!$A:$D,I!$A:$D),2,FALSE)</f>
        <v>TRANSPORTE - HORISTA (COLETADO CAIXA)</v>
      </c>
      <c r="D66" s="64"/>
      <c r="E66" s="64"/>
      <c r="F66" s="64"/>
      <c r="G66" s="17" t="str">
        <f>VLOOKUP(B66,IF(A66="COMPOSICAO",S!$A:$D,I!$A:$D),3,FALSE)</f>
        <v>H</v>
      </c>
      <c r="H66" s="18">
        <v>1</v>
      </c>
      <c r="I66" s="18">
        <f>IF(A66="COMPOSICAO",VLOOKUP("TOTAL - "&amp;B66,COMPOSICAO_AUX_3!$A:$J,10,FALSE),VLOOKUP(B66,I!$A:$D,4,FALSE))</f>
        <v>0.7</v>
      </c>
      <c r="J66" s="67">
        <f t="shared" si="3"/>
        <v>0.7</v>
      </c>
      <c r="K66" s="68"/>
    </row>
    <row r="67" spans="1:13" ht="15" customHeight="1" x14ac:dyDescent="0.3">
      <c r="A67" s="17" t="s">
        <v>70</v>
      </c>
      <c r="B67" s="19">
        <v>37372</v>
      </c>
      <c r="C67" s="64" t="str">
        <f>VLOOKUP(B67,IF(A67="COMPOSICAO",S!$A:$D,I!$A:$D),2,FALSE)</f>
        <v>EXAMES - HORISTA (COLETADO CAIXA)</v>
      </c>
      <c r="D67" s="64"/>
      <c r="E67" s="64"/>
      <c r="F67" s="64"/>
      <c r="G67" s="17" t="str">
        <f>VLOOKUP(B67,IF(A67="COMPOSICAO",S!$A:$D,I!$A:$D),3,FALSE)</f>
        <v>H</v>
      </c>
      <c r="H67" s="18">
        <v>1</v>
      </c>
      <c r="I67" s="18">
        <f>IF(A67="COMPOSICAO",VLOOKUP("TOTAL - "&amp;B67,COMPOSICAO_AUX_3!$A:$J,10,FALSE),VLOOKUP(B67,I!$A:$D,4,FALSE))</f>
        <v>0.55000000000000004</v>
      </c>
      <c r="J67" s="67">
        <f t="shared" si="3"/>
        <v>0.55000000000000004</v>
      </c>
      <c r="K67" s="68"/>
    </row>
    <row r="68" spans="1:13" ht="15" customHeight="1" x14ac:dyDescent="0.3">
      <c r="A68" s="17" t="s">
        <v>70</v>
      </c>
      <c r="B68" s="19">
        <v>37373</v>
      </c>
      <c r="C68" s="64" t="str">
        <f>VLOOKUP(B68,IF(A68="COMPOSICAO",S!$A:$D,I!$A:$D),2,FALSE)</f>
        <v>SEGURO - HORISTA (COLETADO CAIXA)</v>
      </c>
      <c r="D68" s="64"/>
      <c r="E68" s="64"/>
      <c r="F68" s="64"/>
      <c r="G68" s="17" t="str">
        <f>VLOOKUP(B68,IF(A68="COMPOSICAO",S!$A:$D,I!$A:$D),3,FALSE)</f>
        <v>H</v>
      </c>
      <c r="H68" s="18">
        <v>1</v>
      </c>
      <c r="I68" s="18">
        <f>IF(A68="COMPOSICAO",VLOOKUP("TOTAL - "&amp;B68,COMPOSICAO_AUX_3!$A:$J,10,FALSE),VLOOKUP(B68,I!$A:$D,4,FALSE))</f>
        <v>0.06</v>
      </c>
      <c r="J68" s="67">
        <f t="shared" si="3"/>
        <v>0.06</v>
      </c>
      <c r="K68" s="68"/>
    </row>
    <row r="69" spans="1:13" ht="30" customHeight="1" x14ac:dyDescent="0.3">
      <c r="A69" s="17" t="s">
        <v>70</v>
      </c>
      <c r="B69" s="19">
        <v>43467</v>
      </c>
      <c r="C69" s="64" t="str">
        <f>VLOOKUP(B69,IF(A69="COMPOSICAO",S!$A:$D,I!$A:$D),2,FALSE)</f>
        <v>FERRAMENTAS - FAMILIA SERVENTE - HORISTA (ENCARGOS COMPLEMENTARES - COLETADO CAIXA)</v>
      </c>
      <c r="D69" s="64"/>
      <c r="E69" s="64"/>
      <c r="F69" s="64"/>
      <c r="G69" s="17" t="str">
        <f>VLOOKUP(B69,IF(A69="COMPOSICAO",S!$A:$D,I!$A:$D),3,FALSE)</f>
        <v>H</v>
      </c>
      <c r="H69" s="18">
        <v>1</v>
      </c>
      <c r="I69" s="18">
        <f>IF(A69="COMPOSICAO",VLOOKUP("TOTAL - "&amp;B69,COMPOSICAO_AUX_3!$A:$J,10,FALSE),VLOOKUP(B69,I!$A:$D,4,FALSE))</f>
        <v>0.41</v>
      </c>
      <c r="J69" s="67">
        <f t="shared" si="3"/>
        <v>0.41</v>
      </c>
      <c r="K69" s="68"/>
    </row>
    <row r="70" spans="1:13" ht="30" customHeight="1" x14ac:dyDescent="0.3">
      <c r="A70" s="17" t="s">
        <v>70</v>
      </c>
      <c r="B70" s="19">
        <v>43491</v>
      </c>
      <c r="C70" s="64" t="str">
        <f>VLOOKUP(B70,IF(A70="COMPOSICAO",S!$A:$D,I!$A:$D),2,FALSE)</f>
        <v>EPI - FAMILIA SERVENTE - HORISTA (ENCARGOS COMPLEMENTARES - COLETADO CAIXA)</v>
      </c>
      <c r="D70" s="64"/>
      <c r="E70" s="64"/>
      <c r="F70" s="64"/>
      <c r="G70" s="17" t="str">
        <f>VLOOKUP(B70,IF(A70="COMPOSICAO",S!$A:$D,I!$A:$D),3,FALSE)</f>
        <v>H</v>
      </c>
      <c r="H70" s="18">
        <v>1</v>
      </c>
      <c r="I70" s="18">
        <f>IF(A70="COMPOSICAO",VLOOKUP("TOTAL - "&amp;B70,COMPOSICAO_AUX_3!$A:$J,10,FALSE),VLOOKUP(B70,I!$A:$D,4,FALSE))</f>
        <v>1.01</v>
      </c>
      <c r="J70" s="67">
        <f t="shared" si="3"/>
        <v>1.01</v>
      </c>
      <c r="K70" s="68"/>
    </row>
    <row r="71" spans="1:13" ht="30" customHeight="1" x14ac:dyDescent="0.3">
      <c r="A71" s="17" t="s">
        <v>71</v>
      </c>
      <c r="B71" s="19">
        <v>95378</v>
      </c>
      <c r="C71" s="64" t="str">
        <f>VLOOKUP(B71,IF(A71="COMPOSICAO",S!$A:$D,I!$A:$D),2,FALSE)</f>
        <v>CURSO DE CAPACITAÇÃO PARA SERVENTE (ENCARGOS COMPLEMENTARES) - HORISTA</v>
      </c>
      <c r="D71" s="64"/>
      <c r="E71" s="64"/>
      <c r="F71" s="64"/>
      <c r="G71" s="17" t="str">
        <f>VLOOKUP(B71,IF(A71="COMPOSICAO",S!$A:$D,I!$A:$D),3,FALSE)</f>
        <v>H</v>
      </c>
      <c r="H71" s="18">
        <v>1</v>
      </c>
      <c r="I71" s="18">
        <f>IF(A71="COMPOSICAO",VLOOKUP("TOTAL - "&amp;B71,COMPOSICAO_AUX_3!$A:$J,10,FALSE),VLOOKUP(B71,I!$A:$D,4,FALSE))</f>
        <v>0.16</v>
      </c>
      <c r="J71" s="67">
        <f t="shared" si="3"/>
        <v>0.16</v>
      </c>
      <c r="K71" s="68"/>
    </row>
    <row r="72" spans="1:13" ht="15" customHeight="1" x14ac:dyDescent="0.3">
      <c r="A72" s="22" t="s">
        <v>91</v>
      </c>
      <c r="B72" s="23"/>
      <c r="C72" s="23"/>
      <c r="D72" s="23"/>
      <c r="E72" s="23"/>
      <c r="F72" s="23"/>
      <c r="G72" s="24"/>
      <c r="H72" s="25"/>
      <c r="I72" s="26"/>
      <c r="J72" s="67">
        <f>SUM(J63:K71)</f>
        <v>15.35</v>
      </c>
      <c r="K72" s="68"/>
    </row>
    <row r="73" spans="1:13" ht="15" customHeight="1" x14ac:dyDescent="0.3">
      <c r="A73" s="3"/>
      <c r="B73" s="3"/>
      <c r="C73" s="3"/>
      <c r="D73" s="3"/>
      <c r="E73" s="3"/>
      <c r="F73" s="3"/>
      <c r="G73" s="3"/>
      <c r="H73" s="3"/>
      <c r="I73" s="3"/>
      <c r="J73" s="3"/>
      <c r="K73" s="3"/>
    </row>
    <row r="74" spans="1:13" ht="15" customHeight="1" x14ac:dyDescent="0.3">
      <c r="A74" s="10" t="s">
        <v>63</v>
      </c>
      <c r="B74" s="10" t="s">
        <v>24</v>
      </c>
      <c r="C74" s="75" t="s">
        <v>8</v>
      </c>
      <c r="D74" s="76"/>
      <c r="E74" s="76"/>
      <c r="F74" s="76"/>
      <c r="G74" s="6" t="s">
        <v>25</v>
      </c>
      <c r="H74" s="6" t="s">
        <v>64</v>
      </c>
      <c r="I74" s="6" t="s">
        <v>65</v>
      </c>
      <c r="J74" s="62" t="s">
        <v>10</v>
      </c>
      <c r="K74" s="63"/>
    </row>
    <row r="75" spans="1:13" ht="45" customHeight="1" x14ac:dyDescent="0.3">
      <c r="A75" s="6" t="s">
        <v>107</v>
      </c>
      <c r="B75" s="27">
        <v>90586</v>
      </c>
      <c r="C75" s="84" t="str">
        <f>VLOOKUP(B75,S!$A:$D,2,FALSE)</f>
        <v>VIBRADOR DE IMERSÃO, DIÂMETRO DE PONTEIRA 45MM, MOTOR ELÉTRICO TRIFÁSICO POTÊNCIA DE 2 CV - CHP DIURNO. AF_06/2015</v>
      </c>
      <c r="D75" s="84"/>
      <c r="E75" s="84"/>
      <c r="F75" s="85"/>
      <c r="G75" s="6" t="str">
        <f>VLOOKUP(B75,S!$A:$D,3,FALSE)</f>
        <v>CHP</v>
      </c>
      <c r="H75" s="20"/>
      <c r="I75" s="20">
        <f>J80</f>
        <v>1.63</v>
      </c>
      <c r="J75" s="70"/>
      <c r="K75" s="71"/>
      <c r="L75" s="20">
        <f>VLOOKUP(B75,S!$A:$D,4,FALSE)</f>
        <v>1.63</v>
      </c>
      <c r="M75" s="6" t="str">
        <f>IF(ROUND((L75-I75),2)=0,"OK, confere com a tabela.",IF(ROUND((L75-I75),2)&lt;0,"ACIMA ("&amp;TEXT(ROUND(I75*100/L75,4),"0,0000")&amp;" %) da tabela.","ABAIXO ("&amp;TEXT(ROUND(I75*100/L75,4),"0,0000")&amp;" %) da tabela."))</f>
        <v>OK, confere com a tabela.</v>
      </c>
    </row>
    <row r="76" spans="1:13" ht="45" customHeight="1" x14ac:dyDescent="0.3">
      <c r="A76" s="17" t="s">
        <v>71</v>
      </c>
      <c r="B76" s="19">
        <v>90582</v>
      </c>
      <c r="C76" s="64" t="str">
        <f>VLOOKUP(B76,IF(A76="COMPOSICAO",S!$A:$D,I!$A:$D),2,FALSE)</f>
        <v>VIBRADOR DE IMERSÃO, DIÂMETRO DE PONTEIRA 45MM, MOTOR ELÉTRICO TRIFÁSICO POTÊNCIA DE 2 CV - DEPRECIAÇÃO. AF_06/2015</v>
      </c>
      <c r="D76" s="64"/>
      <c r="E76" s="64"/>
      <c r="F76" s="64"/>
      <c r="G76" s="17" t="str">
        <f>VLOOKUP(B76,IF(A76="COMPOSICAO",S!$A:$D,I!$A:$D),3,FALSE)</f>
        <v>H</v>
      </c>
      <c r="H76" s="18">
        <v>1</v>
      </c>
      <c r="I76" s="18">
        <f>IF(A76="COMPOSICAO",VLOOKUP("TOTAL - "&amp;B76,COMPOSICAO_AUX_3!$A:$J,10,FALSE),VLOOKUP(B76,I!$A:$D,4,FALSE))</f>
        <v>0.36</v>
      </c>
      <c r="J76" s="67">
        <f>TRUNC(H76*I76,2)</f>
        <v>0.36</v>
      </c>
      <c r="K76" s="68"/>
    </row>
    <row r="77" spans="1:13" ht="45" customHeight="1" x14ac:dyDescent="0.3">
      <c r="A77" s="17" t="s">
        <v>71</v>
      </c>
      <c r="B77" s="19">
        <v>90583</v>
      </c>
      <c r="C77" s="64" t="str">
        <f>VLOOKUP(B77,IF(A77="COMPOSICAO",S!$A:$D,I!$A:$D),2,FALSE)</f>
        <v>VIBRADOR DE IMERSÃO, DIÂMETRO DE PONTEIRA 45MM, MOTOR ELÉTRICO TRIFÁSICO POTÊNCIA DE 2 CV - JUROS. AF_06/2015</v>
      </c>
      <c r="D77" s="64"/>
      <c r="E77" s="64"/>
      <c r="F77" s="64"/>
      <c r="G77" s="17" t="str">
        <f>VLOOKUP(B77,IF(A77="COMPOSICAO",S!$A:$D,I!$A:$D),3,FALSE)</f>
        <v>H</v>
      </c>
      <c r="H77" s="18">
        <v>1</v>
      </c>
      <c r="I77" s="18">
        <f>IF(A77="COMPOSICAO",VLOOKUP("TOTAL - "&amp;B77,COMPOSICAO_AUX_3!$A:$J,10,FALSE),VLOOKUP(B77,I!$A:$D,4,FALSE))</f>
        <v>0.04</v>
      </c>
      <c r="J77" s="67">
        <f>TRUNC(H77*I77,2)</f>
        <v>0.04</v>
      </c>
      <c r="K77" s="68"/>
    </row>
    <row r="78" spans="1:13" ht="45" customHeight="1" x14ac:dyDescent="0.3">
      <c r="A78" s="17" t="s">
        <v>71</v>
      </c>
      <c r="B78" s="19">
        <v>90584</v>
      </c>
      <c r="C78" s="64" t="str">
        <f>VLOOKUP(B78,IF(A78="COMPOSICAO",S!$A:$D,I!$A:$D),2,FALSE)</f>
        <v>VIBRADOR DE IMERSÃO, DIÂMETRO DE PONTEIRA 45MM, MOTOR ELÉTRICO TRIFÁSICO POTÊNCIA DE 2 CV - MANUTENÇÃO. AF_06/2015</v>
      </c>
      <c r="D78" s="64"/>
      <c r="E78" s="64"/>
      <c r="F78" s="64"/>
      <c r="G78" s="17" t="str">
        <f>VLOOKUP(B78,IF(A78="COMPOSICAO",S!$A:$D,I!$A:$D),3,FALSE)</f>
        <v>H</v>
      </c>
      <c r="H78" s="18">
        <v>1</v>
      </c>
      <c r="I78" s="18">
        <f>IF(A78="COMPOSICAO",VLOOKUP("TOTAL - "&amp;B78,COMPOSICAO_AUX_3!$A:$J,10,FALSE),VLOOKUP(B78,I!$A:$D,4,FALSE))</f>
        <v>0.28000000000000003</v>
      </c>
      <c r="J78" s="67">
        <f>TRUNC(H78*I78,2)</f>
        <v>0.28000000000000003</v>
      </c>
      <c r="K78" s="68"/>
    </row>
    <row r="79" spans="1:13" ht="45" customHeight="1" x14ac:dyDescent="0.3">
      <c r="A79" s="17" t="s">
        <v>71</v>
      </c>
      <c r="B79" s="19">
        <v>90585</v>
      </c>
      <c r="C79" s="64" t="str">
        <f>VLOOKUP(B79,IF(A79="COMPOSICAO",S!$A:$D,I!$A:$D),2,FALSE)</f>
        <v>VIBRADOR DE IMERSÃO, DIÂMETRO DE PONTEIRA 45MM, MOTOR ELÉTRICO TRIFÁSICO POTÊNCIA DE 2 CV - MATERIAIS NA OPERAÇÃO. AF_06/2015</v>
      </c>
      <c r="D79" s="64"/>
      <c r="E79" s="64"/>
      <c r="F79" s="64"/>
      <c r="G79" s="17" t="str">
        <f>VLOOKUP(B79,IF(A79="COMPOSICAO",S!$A:$D,I!$A:$D),3,FALSE)</f>
        <v>H</v>
      </c>
      <c r="H79" s="18">
        <v>1</v>
      </c>
      <c r="I79" s="18">
        <f>IF(A79="COMPOSICAO",VLOOKUP("TOTAL - "&amp;B79,COMPOSICAO_AUX_3!$A:$J,10,FALSE),VLOOKUP(B79,I!$A:$D,4,FALSE))</f>
        <v>0.95</v>
      </c>
      <c r="J79" s="67">
        <f>TRUNC(H79*I79,2)</f>
        <v>0.95</v>
      </c>
      <c r="K79" s="68"/>
    </row>
    <row r="80" spans="1:13" ht="15" customHeight="1" x14ac:dyDescent="0.3">
      <c r="A80" s="22" t="s">
        <v>108</v>
      </c>
      <c r="B80" s="23"/>
      <c r="C80" s="23"/>
      <c r="D80" s="23"/>
      <c r="E80" s="23"/>
      <c r="F80" s="23"/>
      <c r="G80" s="24"/>
      <c r="H80" s="25"/>
      <c r="I80" s="26"/>
      <c r="J80" s="67">
        <f>SUM(J75:K79)</f>
        <v>1.63</v>
      </c>
      <c r="K80" s="68"/>
    </row>
    <row r="81" spans="1:13" ht="15" customHeight="1" x14ac:dyDescent="0.3">
      <c r="A81" s="3"/>
      <c r="B81" s="3"/>
      <c r="C81" s="3"/>
      <c r="D81" s="3"/>
      <c r="E81" s="3"/>
      <c r="F81" s="3"/>
      <c r="G81" s="3"/>
      <c r="H81" s="3"/>
      <c r="I81" s="3"/>
      <c r="J81" s="3"/>
      <c r="K81" s="3"/>
    </row>
    <row r="82" spans="1:13" ht="15" customHeight="1" x14ac:dyDescent="0.3">
      <c r="A82" s="10" t="s">
        <v>63</v>
      </c>
      <c r="B82" s="10" t="s">
        <v>24</v>
      </c>
      <c r="C82" s="75" t="s">
        <v>8</v>
      </c>
      <c r="D82" s="76"/>
      <c r="E82" s="76"/>
      <c r="F82" s="76"/>
      <c r="G82" s="6" t="s">
        <v>25</v>
      </c>
      <c r="H82" s="6" t="s">
        <v>64</v>
      </c>
      <c r="I82" s="6" t="s">
        <v>65</v>
      </c>
      <c r="J82" s="62" t="s">
        <v>10</v>
      </c>
      <c r="K82" s="63"/>
    </row>
    <row r="83" spans="1:13" ht="45" customHeight="1" x14ac:dyDescent="0.3">
      <c r="A83" s="6" t="s">
        <v>107</v>
      </c>
      <c r="B83" s="27">
        <v>90587</v>
      </c>
      <c r="C83" s="84" t="str">
        <f>VLOOKUP(B83,S!$A:$D,2,FALSE)</f>
        <v>VIBRADOR DE IMERSÃO, DIÂMETRO DE PONTEIRA 45MM, MOTOR ELÉTRICO TRIFÁSICO POTÊNCIA DE 2 CV - CHI DIURNO. AF_06/2015</v>
      </c>
      <c r="D83" s="84"/>
      <c r="E83" s="84"/>
      <c r="F83" s="85"/>
      <c r="G83" s="6" t="str">
        <f>VLOOKUP(B83,S!$A:$D,3,FALSE)</f>
        <v>CHI</v>
      </c>
      <c r="H83" s="20"/>
      <c r="I83" s="20">
        <f>J86</f>
        <v>0.39999999999999997</v>
      </c>
      <c r="J83" s="70"/>
      <c r="K83" s="71"/>
      <c r="L83" s="20">
        <f>VLOOKUP(B83,S!$A:$D,4,FALSE)</f>
        <v>0.4</v>
      </c>
      <c r="M83" s="6" t="str">
        <f>IF(ROUND((L83-I83),2)=0,"OK, confere com a tabela.",IF(ROUND((L83-I83),2)&lt;0,"ACIMA ("&amp;TEXT(ROUND(I83*100/L83,4),"0,0000")&amp;" %) da tabela.","ABAIXO ("&amp;TEXT(ROUND(I83*100/L83,4),"0,0000")&amp;" %) da tabela."))</f>
        <v>OK, confere com a tabela.</v>
      </c>
    </row>
    <row r="84" spans="1:13" ht="45" customHeight="1" x14ac:dyDescent="0.3">
      <c r="A84" s="17" t="s">
        <v>71</v>
      </c>
      <c r="B84" s="19">
        <v>90582</v>
      </c>
      <c r="C84" s="64" t="str">
        <f>VLOOKUP(B84,IF(A84="COMPOSICAO",S!$A:$D,I!$A:$D),2,FALSE)</f>
        <v>VIBRADOR DE IMERSÃO, DIÂMETRO DE PONTEIRA 45MM, MOTOR ELÉTRICO TRIFÁSICO POTÊNCIA DE 2 CV - DEPRECIAÇÃO. AF_06/2015</v>
      </c>
      <c r="D84" s="64"/>
      <c r="E84" s="64"/>
      <c r="F84" s="64"/>
      <c r="G84" s="17" t="str">
        <f>VLOOKUP(B84,IF(A84="COMPOSICAO",S!$A:$D,I!$A:$D),3,FALSE)</f>
        <v>H</v>
      </c>
      <c r="H84" s="18">
        <v>1</v>
      </c>
      <c r="I84" s="18">
        <f>IF(A84="COMPOSICAO",VLOOKUP("TOTAL - "&amp;B84,COMPOSICAO_AUX_3!$A:$J,10,FALSE),VLOOKUP(B84,I!$A:$D,4,FALSE))</f>
        <v>0.36</v>
      </c>
      <c r="J84" s="67">
        <f>TRUNC(H84*I84,2)</f>
        <v>0.36</v>
      </c>
      <c r="K84" s="68"/>
    </row>
    <row r="85" spans="1:13" ht="45" customHeight="1" x14ac:dyDescent="0.3">
      <c r="A85" s="17" t="s">
        <v>71</v>
      </c>
      <c r="B85" s="19">
        <v>90583</v>
      </c>
      <c r="C85" s="64" t="str">
        <f>VLOOKUP(B85,IF(A85="COMPOSICAO",S!$A:$D,I!$A:$D),2,FALSE)</f>
        <v>VIBRADOR DE IMERSÃO, DIÂMETRO DE PONTEIRA 45MM, MOTOR ELÉTRICO TRIFÁSICO POTÊNCIA DE 2 CV - JUROS. AF_06/2015</v>
      </c>
      <c r="D85" s="64"/>
      <c r="E85" s="64"/>
      <c r="F85" s="64"/>
      <c r="G85" s="17" t="str">
        <f>VLOOKUP(B85,IF(A85="COMPOSICAO",S!$A:$D,I!$A:$D),3,FALSE)</f>
        <v>H</v>
      </c>
      <c r="H85" s="18">
        <v>1</v>
      </c>
      <c r="I85" s="18">
        <f>IF(A85="COMPOSICAO",VLOOKUP("TOTAL - "&amp;B85,COMPOSICAO_AUX_3!$A:$J,10,FALSE),VLOOKUP(B85,I!$A:$D,4,FALSE))</f>
        <v>0.04</v>
      </c>
      <c r="J85" s="67">
        <f>TRUNC(H85*I85,2)</f>
        <v>0.04</v>
      </c>
      <c r="K85" s="68"/>
    </row>
    <row r="86" spans="1:13" ht="15" customHeight="1" x14ac:dyDescent="0.3">
      <c r="A86" s="22" t="s">
        <v>109</v>
      </c>
      <c r="B86" s="23"/>
      <c r="C86" s="23"/>
      <c r="D86" s="23"/>
      <c r="E86" s="23"/>
      <c r="F86" s="23"/>
      <c r="G86" s="24"/>
      <c r="H86" s="25"/>
      <c r="I86" s="26"/>
      <c r="J86" s="67">
        <f>SUM(J83:K85)</f>
        <v>0.39999999999999997</v>
      </c>
      <c r="K86" s="68"/>
    </row>
    <row r="87" spans="1:13" ht="15" customHeight="1" x14ac:dyDescent="0.3">
      <c r="A87" s="3"/>
      <c r="B87" s="3"/>
      <c r="C87" s="3"/>
      <c r="D87" s="3"/>
      <c r="E87" s="3"/>
      <c r="F87" s="3"/>
      <c r="G87" s="3"/>
      <c r="H87" s="3"/>
      <c r="I87" s="3"/>
      <c r="J87" s="3"/>
      <c r="K87" s="3"/>
    </row>
    <row r="88" spans="1:13" ht="15" customHeight="1" x14ac:dyDescent="0.3">
      <c r="A88" s="10" t="s">
        <v>63</v>
      </c>
      <c r="B88" s="10" t="s">
        <v>24</v>
      </c>
      <c r="C88" s="75" t="s">
        <v>8</v>
      </c>
      <c r="D88" s="76"/>
      <c r="E88" s="76"/>
      <c r="F88" s="76"/>
      <c r="G88" s="6" t="s">
        <v>25</v>
      </c>
      <c r="H88" s="6" t="s">
        <v>64</v>
      </c>
      <c r="I88" s="6" t="s">
        <v>65</v>
      </c>
      <c r="J88" s="62" t="s">
        <v>10</v>
      </c>
      <c r="K88" s="63"/>
    </row>
    <row r="89" spans="1:13" ht="45" customHeight="1" x14ac:dyDescent="0.3">
      <c r="A89" s="6" t="s">
        <v>107</v>
      </c>
      <c r="B89" s="27">
        <v>91692</v>
      </c>
      <c r="C89" s="84" t="str">
        <f>VLOOKUP(B89,S!$A:$D,2,FALSE)</f>
        <v>SERRA CIRCULAR DE BANCADA COM MOTOR ELÉTRICO POTÊNCIA DE 5HP, COM COIFA PARA DISCO 10" - CHP DIURNO. AF_08/2015</v>
      </c>
      <c r="D89" s="84"/>
      <c r="E89" s="84"/>
      <c r="F89" s="85"/>
      <c r="G89" s="6" t="str">
        <f>VLOOKUP(B89,S!$A:$D,3,FALSE)</f>
        <v>CHP</v>
      </c>
      <c r="H89" s="20"/>
      <c r="I89" s="20">
        <f>J95</f>
        <v>26.959999999999997</v>
      </c>
      <c r="J89" s="70"/>
      <c r="K89" s="71"/>
      <c r="L89" s="20">
        <f>VLOOKUP(B89,S!$A:$D,4,FALSE)</f>
        <v>26.96</v>
      </c>
      <c r="M89" s="6" t="str">
        <f>IF(ROUND((L89-I89),2)=0,"OK, confere com a tabela.",IF(ROUND((L89-I89),2)&lt;0,"ACIMA ("&amp;TEXT(ROUND(I89*100/L89,4),"0,0000")&amp;" %) da tabela.","ABAIXO ("&amp;TEXT(ROUND(I89*100/L89,4),"0,0000")&amp;" %) da tabela."))</f>
        <v>OK, confere com a tabela.</v>
      </c>
    </row>
    <row r="90" spans="1:13" ht="30" customHeight="1" x14ac:dyDescent="0.3">
      <c r="A90" s="17" t="s">
        <v>71</v>
      </c>
      <c r="B90" s="19">
        <v>88297</v>
      </c>
      <c r="C90" s="64" t="str">
        <f>VLOOKUP(B90,IF(A90="COMPOSICAO",S!$A:$D,I!$A:$D),2,FALSE)</f>
        <v>OPERADOR DE MÁQUINAS E EQUIPAMENTOS COM ENCARGOS COMPLEMENTARES</v>
      </c>
      <c r="D90" s="64"/>
      <c r="E90" s="64"/>
      <c r="F90" s="64"/>
      <c r="G90" s="17" t="str">
        <f>VLOOKUP(B90,IF(A90="COMPOSICAO",S!$A:$D,I!$A:$D),3,FALSE)</f>
        <v>H</v>
      </c>
      <c r="H90" s="18">
        <v>1</v>
      </c>
      <c r="I90" s="18">
        <f>IF(A90="COMPOSICAO",VLOOKUP("TOTAL - "&amp;B90,COMPOSICAO_AUX_3!$A:$J,10,FALSE),VLOOKUP(B90,I!$A:$D,4,FALSE))</f>
        <v>24.4</v>
      </c>
      <c r="J90" s="67">
        <f>TRUNC(H90*I90,2)</f>
        <v>24.4</v>
      </c>
      <c r="K90" s="68"/>
    </row>
    <row r="91" spans="1:13" ht="45" customHeight="1" x14ac:dyDescent="0.3">
      <c r="A91" s="17" t="s">
        <v>71</v>
      </c>
      <c r="B91" s="19">
        <v>91688</v>
      </c>
      <c r="C91" s="64" t="str">
        <f>VLOOKUP(B91,IF(A91="COMPOSICAO",S!$A:$D,I!$A:$D),2,FALSE)</f>
        <v>SERRA CIRCULAR DE BANCADA COM MOTOR ELÉTRICO POTÊNCIA DE 5HP, COM COIFA PARA DISCO 10" - DEPRECIAÇÃO. AF_08/2015</v>
      </c>
      <c r="D91" s="64"/>
      <c r="E91" s="64"/>
      <c r="F91" s="64"/>
      <c r="G91" s="17" t="str">
        <f>VLOOKUP(B91,IF(A91="COMPOSICAO",S!$A:$D,I!$A:$D),3,FALSE)</f>
        <v>H</v>
      </c>
      <c r="H91" s="18">
        <v>1</v>
      </c>
      <c r="I91" s="18">
        <f>IF(A91="COMPOSICAO",VLOOKUP("TOTAL - "&amp;B91,COMPOSICAO_AUX_3!$A:$J,10,FALSE),VLOOKUP(B91,I!$A:$D,4,FALSE))</f>
        <v>0.09</v>
      </c>
      <c r="J91" s="67">
        <f>TRUNC(H91*I91,2)</f>
        <v>0.09</v>
      </c>
      <c r="K91" s="68"/>
    </row>
    <row r="92" spans="1:13" ht="45" customHeight="1" x14ac:dyDescent="0.3">
      <c r="A92" s="17" t="s">
        <v>71</v>
      </c>
      <c r="B92" s="19">
        <v>91689</v>
      </c>
      <c r="C92" s="64" t="str">
        <f>VLOOKUP(B92,IF(A92="COMPOSICAO",S!$A:$D,I!$A:$D),2,FALSE)</f>
        <v>SERRA CIRCULAR DE BANCADA COM MOTOR ELÉTRICO POTÊNCIA DE 5HP, COM COIFA PARA DISCO 10" - JUROS. AF_08/2015</v>
      </c>
      <c r="D92" s="64"/>
      <c r="E92" s="64"/>
      <c r="F92" s="64"/>
      <c r="G92" s="17" t="str">
        <f>VLOOKUP(B92,IF(A92="COMPOSICAO",S!$A:$D,I!$A:$D),3,FALSE)</f>
        <v>H</v>
      </c>
      <c r="H92" s="18">
        <v>1</v>
      </c>
      <c r="I92" s="18">
        <f>IF(A92="COMPOSICAO",VLOOKUP("TOTAL - "&amp;B92,COMPOSICAO_AUX_3!$A:$J,10,FALSE),VLOOKUP(B92,I!$A:$D,4,FALSE))</f>
        <v>0.01</v>
      </c>
      <c r="J92" s="67">
        <f>TRUNC(H92*I92,2)</f>
        <v>0.01</v>
      </c>
      <c r="K92" s="68"/>
    </row>
    <row r="93" spans="1:13" ht="45" customHeight="1" x14ac:dyDescent="0.3">
      <c r="A93" s="17" t="s">
        <v>71</v>
      </c>
      <c r="B93" s="19">
        <v>91690</v>
      </c>
      <c r="C93" s="64" t="str">
        <f>VLOOKUP(B93,IF(A93="COMPOSICAO",S!$A:$D,I!$A:$D),2,FALSE)</f>
        <v>SERRA CIRCULAR DE BANCADA COM MOTOR ELÉTRICO POTÊNCIA DE 5HP, COM COIFA PARA DISCO 10" - MANUTENÇÃO. AF_08/2015</v>
      </c>
      <c r="D93" s="64"/>
      <c r="E93" s="64"/>
      <c r="F93" s="64"/>
      <c r="G93" s="17" t="str">
        <f>VLOOKUP(B93,IF(A93="COMPOSICAO",S!$A:$D,I!$A:$D),3,FALSE)</f>
        <v>H</v>
      </c>
      <c r="H93" s="18">
        <v>1</v>
      </c>
      <c r="I93" s="18">
        <f>IF(A93="COMPOSICAO",VLOOKUP("TOTAL - "&amp;B93,COMPOSICAO_AUX_3!$A:$J,10,FALSE),VLOOKUP(B93,I!$A:$D,4,FALSE))</f>
        <v>0.06</v>
      </c>
      <c r="J93" s="67">
        <f>TRUNC(H93*I93,2)</f>
        <v>0.06</v>
      </c>
      <c r="K93" s="68"/>
    </row>
    <row r="94" spans="1:13" ht="45" customHeight="1" x14ac:dyDescent="0.3">
      <c r="A94" s="17" t="s">
        <v>71</v>
      </c>
      <c r="B94" s="19">
        <v>91691</v>
      </c>
      <c r="C94" s="64" t="str">
        <f>VLOOKUP(B94,IF(A94="COMPOSICAO",S!$A:$D,I!$A:$D),2,FALSE)</f>
        <v>SERRA CIRCULAR DE BANCADA COM MOTOR ELÉTRICO POTÊNCIA DE 5HP, COM COIFA PARA DISCO 10" - MATERIAIS NA OPERAÇÃO. AF_08/2015</v>
      </c>
      <c r="D94" s="64"/>
      <c r="E94" s="64"/>
      <c r="F94" s="64"/>
      <c r="G94" s="17" t="str">
        <f>VLOOKUP(B94,IF(A94="COMPOSICAO",S!$A:$D,I!$A:$D),3,FALSE)</f>
        <v>H</v>
      </c>
      <c r="H94" s="18">
        <v>1</v>
      </c>
      <c r="I94" s="18">
        <f>IF(A94="COMPOSICAO",VLOOKUP("TOTAL - "&amp;B94,COMPOSICAO_AUX_3!$A:$J,10,FALSE),VLOOKUP(B94,I!$A:$D,4,FALSE))</f>
        <v>2.4</v>
      </c>
      <c r="J94" s="67">
        <f>TRUNC(H94*I94,2)</f>
        <v>2.4</v>
      </c>
      <c r="K94" s="68"/>
    </row>
    <row r="95" spans="1:13" ht="15" customHeight="1" x14ac:dyDescent="0.3">
      <c r="A95" s="22" t="s">
        <v>110</v>
      </c>
      <c r="B95" s="23"/>
      <c r="C95" s="23"/>
      <c r="D95" s="23"/>
      <c r="E95" s="23"/>
      <c r="F95" s="23"/>
      <c r="G95" s="24"/>
      <c r="H95" s="25"/>
      <c r="I95" s="26"/>
      <c r="J95" s="67">
        <f>SUM(J89:K94)</f>
        <v>26.959999999999997</v>
      </c>
      <c r="K95" s="68"/>
    </row>
    <row r="96" spans="1:13" ht="15" customHeight="1" x14ac:dyDescent="0.3">
      <c r="A96" s="3"/>
      <c r="B96" s="3"/>
      <c r="C96" s="3"/>
      <c r="D96" s="3"/>
      <c r="E96" s="3"/>
      <c r="F96" s="3"/>
      <c r="G96" s="3"/>
      <c r="H96" s="3"/>
      <c r="I96" s="3"/>
      <c r="J96" s="3"/>
      <c r="K96" s="3"/>
    </row>
    <row r="97" spans="1:13" ht="15" customHeight="1" x14ac:dyDescent="0.3">
      <c r="A97" s="10" t="s">
        <v>63</v>
      </c>
      <c r="B97" s="10" t="s">
        <v>24</v>
      </c>
      <c r="C97" s="75" t="s">
        <v>8</v>
      </c>
      <c r="D97" s="76"/>
      <c r="E97" s="76"/>
      <c r="F97" s="76"/>
      <c r="G97" s="6" t="s">
        <v>25</v>
      </c>
      <c r="H97" s="6" t="s">
        <v>64</v>
      </c>
      <c r="I97" s="6" t="s">
        <v>65</v>
      </c>
      <c r="J97" s="62" t="s">
        <v>10</v>
      </c>
      <c r="K97" s="63"/>
    </row>
    <row r="98" spans="1:13" ht="45" customHeight="1" x14ac:dyDescent="0.3">
      <c r="A98" s="6" t="s">
        <v>107</v>
      </c>
      <c r="B98" s="27">
        <v>91693</v>
      </c>
      <c r="C98" s="84" t="str">
        <f>VLOOKUP(B98,S!$A:$D,2,FALSE)</f>
        <v>SERRA CIRCULAR DE BANCADA COM MOTOR ELÉTRICO POTÊNCIA DE 5HP, COM COIFA PARA DISCO 10" - CHI DIURNO. AF_08/2015</v>
      </c>
      <c r="D98" s="84"/>
      <c r="E98" s="84"/>
      <c r="F98" s="85"/>
      <c r="G98" s="6" t="str">
        <f>VLOOKUP(B98,S!$A:$D,3,FALSE)</f>
        <v>CHI</v>
      </c>
      <c r="H98" s="20"/>
      <c r="I98" s="20">
        <f>J102</f>
        <v>24.5</v>
      </c>
      <c r="J98" s="70"/>
      <c r="K98" s="71"/>
      <c r="L98" s="20">
        <f>VLOOKUP(B98,S!$A:$D,4,FALSE)</f>
        <v>24.5</v>
      </c>
      <c r="M98" s="6" t="str">
        <f>IF(ROUND((L98-I98),2)=0,"OK, confere com a tabela.",IF(ROUND((L98-I98),2)&lt;0,"ACIMA ("&amp;TEXT(ROUND(I98*100/L98,4),"0,0000")&amp;" %) da tabela.","ABAIXO ("&amp;TEXT(ROUND(I98*100/L98,4),"0,0000")&amp;" %) da tabela."))</f>
        <v>OK, confere com a tabela.</v>
      </c>
    </row>
    <row r="99" spans="1:13" ht="30" customHeight="1" x14ac:dyDescent="0.3">
      <c r="A99" s="17" t="s">
        <v>71</v>
      </c>
      <c r="B99" s="19">
        <v>88297</v>
      </c>
      <c r="C99" s="64" t="str">
        <f>VLOOKUP(B99,IF(A99="COMPOSICAO",S!$A:$D,I!$A:$D),2,FALSE)</f>
        <v>OPERADOR DE MÁQUINAS E EQUIPAMENTOS COM ENCARGOS COMPLEMENTARES</v>
      </c>
      <c r="D99" s="64"/>
      <c r="E99" s="64"/>
      <c r="F99" s="64"/>
      <c r="G99" s="17" t="str">
        <f>VLOOKUP(B99,IF(A99="COMPOSICAO",S!$A:$D,I!$A:$D),3,FALSE)</f>
        <v>H</v>
      </c>
      <c r="H99" s="18">
        <v>1</v>
      </c>
      <c r="I99" s="18">
        <f>IF(A99="COMPOSICAO",VLOOKUP("TOTAL - "&amp;B99,COMPOSICAO_AUX_3!$A:$J,10,FALSE),VLOOKUP(B99,I!$A:$D,4,FALSE))</f>
        <v>24.4</v>
      </c>
      <c r="J99" s="67">
        <f>TRUNC(H99*I99,2)</f>
        <v>24.4</v>
      </c>
      <c r="K99" s="68"/>
    </row>
    <row r="100" spans="1:13" ht="45" customHeight="1" x14ac:dyDescent="0.3">
      <c r="A100" s="17" t="s">
        <v>71</v>
      </c>
      <c r="B100" s="19">
        <v>91688</v>
      </c>
      <c r="C100" s="64" t="str">
        <f>VLOOKUP(B100,IF(A100="COMPOSICAO",S!$A:$D,I!$A:$D),2,FALSE)</f>
        <v>SERRA CIRCULAR DE BANCADA COM MOTOR ELÉTRICO POTÊNCIA DE 5HP, COM COIFA PARA DISCO 10" - DEPRECIAÇÃO. AF_08/2015</v>
      </c>
      <c r="D100" s="64"/>
      <c r="E100" s="64"/>
      <c r="F100" s="64"/>
      <c r="G100" s="17" t="str">
        <f>VLOOKUP(B100,IF(A100="COMPOSICAO",S!$A:$D,I!$A:$D),3,FALSE)</f>
        <v>H</v>
      </c>
      <c r="H100" s="18">
        <v>1</v>
      </c>
      <c r="I100" s="18">
        <f>IF(A100="COMPOSICAO",VLOOKUP("TOTAL - "&amp;B100,COMPOSICAO_AUX_3!$A:$J,10,FALSE),VLOOKUP(B100,I!$A:$D,4,FALSE))</f>
        <v>0.09</v>
      </c>
      <c r="J100" s="67">
        <f>TRUNC(H100*I100,2)</f>
        <v>0.09</v>
      </c>
      <c r="K100" s="68"/>
    </row>
    <row r="101" spans="1:13" ht="45" customHeight="1" x14ac:dyDescent="0.3">
      <c r="A101" s="17" t="s">
        <v>71</v>
      </c>
      <c r="B101" s="19">
        <v>91689</v>
      </c>
      <c r="C101" s="64" t="str">
        <f>VLOOKUP(B101,IF(A101="COMPOSICAO",S!$A:$D,I!$A:$D),2,FALSE)</f>
        <v>SERRA CIRCULAR DE BANCADA COM MOTOR ELÉTRICO POTÊNCIA DE 5HP, COM COIFA PARA DISCO 10" - JUROS. AF_08/2015</v>
      </c>
      <c r="D101" s="64"/>
      <c r="E101" s="64"/>
      <c r="F101" s="64"/>
      <c r="G101" s="17" t="str">
        <f>VLOOKUP(B101,IF(A101="COMPOSICAO",S!$A:$D,I!$A:$D),3,FALSE)</f>
        <v>H</v>
      </c>
      <c r="H101" s="18">
        <v>1</v>
      </c>
      <c r="I101" s="18">
        <f>IF(A101="COMPOSICAO",VLOOKUP("TOTAL - "&amp;B101,COMPOSICAO_AUX_3!$A:$J,10,FALSE),VLOOKUP(B101,I!$A:$D,4,FALSE))</f>
        <v>0.01</v>
      </c>
      <c r="J101" s="67">
        <f>TRUNC(H101*I101,2)</f>
        <v>0.01</v>
      </c>
      <c r="K101" s="68"/>
    </row>
    <row r="102" spans="1:13" ht="15" customHeight="1" x14ac:dyDescent="0.3">
      <c r="A102" s="22" t="s">
        <v>111</v>
      </c>
      <c r="B102" s="23"/>
      <c r="C102" s="23"/>
      <c r="D102" s="23"/>
      <c r="E102" s="23"/>
      <c r="F102" s="23"/>
      <c r="G102" s="24"/>
      <c r="H102" s="25"/>
      <c r="I102" s="26"/>
      <c r="J102" s="67">
        <f>SUM(J98:K101)</f>
        <v>24.5</v>
      </c>
      <c r="K102" s="68"/>
    </row>
    <row r="103" spans="1:13" ht="15" customHeight="1" x14ac:dyDescent="0.3">
      <c r="A103" s="3"/>
      <c r="B103" s="3"/>
      <c r="C103" s="3"/>
      <c r="D103" s="3"/>
      <c r="E103" s="3"/>
      <c r="F103" s="3"/>
      <c r="G103" s="3"/>
      <c r="H103" s="3"/>
      <c r="I103" s="3"/>
      <c r="J103" s="3"/>
      <c r="K103" s="3"/>
    </row>
    <row r="104" spans="1:13" ht="15" customHeight="1" x14ac:dyDescent="0.3">
      <c r="A104" s="10" t="s">
        <v>63</v>
      </c>
      <c r="B104" s="10" t="s">
        <v>24</v>
      </c>
      <c r="C104" s="75" t="s">
        <v>8</v>
      </c>
      <c r="D104" s="76"/>
      <c r="E104" s="76"/>
      <c r="F104" s="76"/>
      <c r="G104" s="6" t="s">
        <v>25</v>
      </c>
      <c r="H104" s="6" t="s">
        <v>64</v>
      </c>
      <c r="I104" s="6" t="s">
        <v>65</v>
      </c>
      <c r="J104" s="62" t="s">
        <v>10</v>
      </c>
      <c r="K104" s="63"/>
    </row>
    <row r="105" spans="1:13" ht="60" customHeight="1" x14ac:dyDescent="0.3">
      <c r="A105" s="6" t="s">
        <v>92</v>
      </c>
      <c r="B105" s="27">
        <v>92783</v>
      </c>
      <c r="C105" s="84" t="str">
        <f>VLOOKUP(B105,S!$A:$D,2,FALSE)</f>
        <v>ARMAÇÃO DE LAJE DE UMA ESTRUTURA CONVENCIONAL DE CONCRETO ARMADO EM UMA EDIFICAÇÃO TÉRREA OU SOBRADO UTILIZANDO AÇO CA-60 DE 4,2 MM - MONTAGEM. AF_12/2015</v>
      </c>
      <c r="D105" s="84"/>
      <c r="E105" s="84"/>
      <c r="F105" s="85"/>
      <c r="G105" s="6" t="str">
        <f>VLOOKUP(B105,S!$A:$D,3,FALSE)</f>
        <v>KG</v>
      </c>
      <c r="H105" s="20"/>
      <c r="I105" s="20">
        <f>J111</f>
        <v>15.32</v>
      </c>
      <c r="J105" s="70"/>
      <c r="K105" s="71"/>
      <c r="L105" s="20">
        <f>VLOOKUP(B105,S!$A:$D,4,FALSE)</f>
        <v>15.32</v>
      </c>
      <c r="M105" s="6" t="str">
        <f>IF(ROUND((L105-I105),2)=0,"OK, confere com a tabela.",IF(ROUND((L105-I105),2)&lt;0,"ACIMA ("&amp;TEXT(ROUND(I105*100/L105,4),"0,0000")&amp;" %) da tabela.","ABAIXO ("&amp;TEXT(ROUND(I105*100/L105,4),"0,0000")&amp;" %) da tabela."))</f>
        <v>OK, confere com a tabela.</v>
      </c>
    </row>
    <row r="106" spans="1:13" ht="45" customHeight="1" x14ac:dyDescent="0.3">
      <c r="A106" s="17" t="s">
        <v>70</v>
      </c>
      <c r="B106" s="19">
        <v>39017</v>
      </c>
      <c r="C106" s="64" t="str">
        <f>VLOOKUP(B106,IF(A106="COMPOSICAO",S!$A:$D,I!$A:$D),2,FALSE)</f>
        <v>ESPACADOR / DISTANCIADOR CIRCULAR COM ENTRADA LATERAL, EM PLASTICO, PARA VERGALHAO *4,2 A 12,5* MM, COBRIMENTO 20 MM</v>
      </c>
      <c r="D106" s="64"/>
      <c r="E106" s="64"/>
      <c r="F106" s="64"/>
      <c r="G106" s="17" t="str">
        <f>VLOOKUP(B106,IF(A106="COMPOSICAO",S!$A:$D,I!$A:$D),3,FALSE)</f>
        <v>UN</v>
      </c>
      <c r="H106" s="28">
        <v>2.8159999999999998</v>
      </c>
      <c r="I106" s="18">
        <f>IF(A106="COMPOSICAO",VLOOKUP("TOTAL - "&amp;B106,COMPOSICAO_AUX_3!$A:$J,10,FALSE),VLOOKUP(B106,I!$A:$D,4,FALSE))</f>
        <v>0.17</v>
      </c>
      <c r="J106" s="67">
        <f>TRUNC(H106*I106,2)</f>
        <v>0.47</v>
      </c>
      <c r="K106" s="68"/>
    </row>
    <row r="107" spans="1:13" ht="30" customHeight="1" x14ac:dyDescent="0.3">
      <c r="A107" s="17" t="s">
        <v>70</v>
      </c>
      <c r="B107" s="19">
        <v>43132</v>
      </c>
      <c r="C107" s="64" t="str">
        <f>VLOOKUP(B107,IF(A107="COMPOSICAO",S!$A:$D,I!$A:$D),2,FALSE)</f>
        <v>ARAME RECOZIDO 16 BWG, D = 1,65 MM (0,016 KG/M) OU 18 BWG, D = 1,25 MM (0,01 KG/M)</v>
      </c>
      <c r="D107" s="64"/>
      <c r="E107" s="64"/>
      <c r="F107" s="64"/>
      <c r="G107" s="17" t="str">
        <f>VLOOKUP(B107,IF(A107="COMPOSICAO",S!$A:$D,I!$A:$D),3,FALSE)</f>
        <v>KG</v>
      </c>
      <c r="H107" s="28">
        <v>2.5000000000000001E-2</v>
      </c>
      <c r="I107" s="18">
        <f>IF(A107="COMPOSICAO",VLOOKUP("TOTAL - "&amp;B107,COMPOSICAO_AUX_3!$A:$J,10,FALSE),VLOOKUP(B107,I!$A:$D,4,FALSE))</f>
        <v>17</v>
      </c>
      <c r="J107" s="67">
        <f>TRUNC(H107*I107,2)</f>
        <v>0.42</v>
      </c>
      <c r="K107" s="68"/>
    </row>
    <row r="108" spans="1:13" ht="30" customHeight="1" x14ac:dyDescent="0.3">
      <c r="A108" s="17" t="s">
        <v>71</v>
      </c>
      <c r="B108" s="19">
        <v>88238</v>
      </c>
      <c r="C108" s="64" t="str">
        <f>VLOOKUP(B108,IF(A108="COMPOSICAO",S!$A:$D,I!$A:$D),2,FALSE)</f>
        <v>AJUDANTE DE ARMADOR COM ENCARGOS COMPLEMENTARES</v>
      </c>
      <c r="D108" s="64"/>
      <c r="E108" s="64"/>
      <c r="F108" s="64"/>
      <c r="G108" s="17" t="str">
        <f>VLOOKUP(B108,IF(A108="COMPOSICAO",S!$A:$D,I!$A:$D),3,FALSE)</f>
        <v>H</v>
      </c>
      <c r="H108" s="28">
        <v>3.1E-2</v>
      </c>
      <c r="I108" s="18">
        <f>IF(A108="COMPOSICAO",VLOOKUP("TOTAL - "&amp;B108,COMPOSICAO_AUX_3!$A:$J,10,FALSE),VLOOKUP(B108,I!$A:$D,4,FALSE))</f>
        <v>15.19</v>
      </c>
      <c r="J108" s="67">
        <f>TRUNC(H108*I108,2)</f>
        <v>0.47</v>
      </c>
      <c r="K108" s="68"/>
    </row>
    <row r="109" spans="1:13" ht="15" customHeight="1" x14ac:dyDescent="0.3">
      <c r="A109" s="17" t="s">
        <v>71</v>
      </c>
      <c r="B109" s="19">
        <v>88245</v>
      </c>
      <c r="C109" s="64" t="str">
        <f>VLOOKUP(B109,IF(A109="COMPOSICAO",S!$A:$D,I!$A:$D),2,FALSE)</f>
        <v>ARMADOR COM ENCARGOS COMPLEMENTARES</v>
      </c>
      <c r="D109" s="64"/>
      <c r="E109" s="64"/>
      <c r="F109" s="64"/>
      <c r="G109" s="17" t="str">
        <f>VLOOKUP(B109,IF(A109="COMPOSICAO",S!$A:$D,I!$A:$D),3,FALSE)</f>
        <v>H</v>
      </c>
      <c r="H109" s="29">
        <v>0.18959999999999999</v>
      </c>
      <c r="I109" s="18">
        <f>IF(A109="COMPOSICAO",VLOOKUP("TOTAL - "&amp;B109,COMPOSICAO_AUX_3!$A:$J,10,FALSE),VLOOKUP(B109,I!$A:$D,4,FALSE))</f>
        <v>19.749999999999996</v>
      </c>
      <c r="J109" s="67">
        <f>TRUNC(H109*I109,2)</f>
        <v>3.74</v>
      </c>
      <c r="K109" s="68"/>
    </row>
    <row r="110" spans="1:13" ht="30" customHeight="1" x14ac:dyDescent="0.3">
      <c r="A110" s="17" t="s">
        <v>71</v>
      </c>
      <c r="B110" s="19">
        <v>92799</v>
      </c>
      <c r="C110" s="64" t="str">
        <f>VLOOKUP(B110,IF(A110="COMPOSICAO",S!$A:$D,I!$A:$D),2,FALSE)</f>
        <v>CORTE E DOBRA DE AÇO CA-60, DIÂMETRO DE 4,2 MM, UTILIZADO EM LAJE. AF_12/2015</v>
      </c>
      <c r="D110" s="64"/>
      <c r="E110" s="64"/>
      <c r="F110" s="64"/>
      <c r="G110" s="17" t="str">
        <f>VLOOKUP(B110,IF(A110="COMPOSICAO",S!$A:$D,I!$A:$D),3,FALSE)</f>
        <v>KG</v>
      </c>
      <c r="H110" s="18">
        <v>1</v>
      </c>
      <c r="I110" s="18">
        <f>IF(A110="COMPOSICAO",VLOOKUP("TOTAL - "&amp;B110,COMPOSICAO_AUX_3!$A:$J,10,FALSE),VLOOKUP(B110,I!$A:$D,4,FALSE))</f>
        <v>10.219999999999999</v>
      </c>
      <c r="J110" s="67">
        <f>TRUNC(H110*I110,2)</f>
        <v>10.220000000000001</v>
      </c>
      <c r="K110" s="68"/>
    </row>
    <row r="111" spans="1:13" ht="15" customHeight="1" x14ac:dyDescent="0.3">
      <c r="A111" s="22" t="s">
        <v>112</v>
      </c>
      <c r="B111" s="23"/>
      <c r="C111" s="23"/>
      <c r="D111" s="23"/>
      <c r="E111" s="23"/>
      <c r="F111" s="23"/>
      <c r="G111" s="24"/>
      <c r="H111" s="25"/>
      <c r="I111" s="26"/>
      <c r="J111" s="67">
        <f>SUM(J105:K110)</f>
        <v>15.32</v>
      </c>
      <c r="K111" s="68"/>
    </row>
    <row r="112" spans="1:13" ht="15" customHeight="1" x14ac:dyDescent="0.3">
      <c r="A112" s="3"/>
      <c r="B112" s="3"/>
      <c r="C112" s="3"/>
      <c r="D112" s="3"/>
      <c r="E112" s="3"/>
      <c r="F112" s="3"/>
      <c r="G112" s="3"/>
      <c r="H112" s="3"/>
      <c r="I112" s="3"/>
      <c r="J112" s="3"/>
      <c r="K112" s="3"/>
    </row>
    <row r="113" spans="1:13" ht="15" customHeight="1" x14ac:dyDescent="0.3">
      <c r="A113" s="10" t="s">
        <v>63</v>
      </c>
      <c r="B113" s="10" t="s">
        <v>24</v>
      </c>
      <c r="C113" s="75" t="s">
        <v>8</v>
      </c>
      <c r="D113" s="76"/>
      <c r="E113" s="76"/>
      <c r="F113" s="76"/>
      <c r="G113" s="6" t="s">
        <v>25</v>
      </c>
      <c r="H113" s="6" t="s">
        <v>64</v>
      </c>
      <c r="I113" s="6" t="s">
        <v>65</v>
      </c>
      <c r="J113" s="62" t="s">
        <v>10</v>
      </c>
      <c r="K113" s="63"/>
    </row>
    <row r="114" spans="1:13" ht="45" customHeight="1" x14ac:dyDescent="0.3">
      <c r="A114" s="6" t="s">
        <v>92</v>
      </c>
      <c r="B114" s="27">
        <v>94971</v>
      </c>
      <c r="C114" s="84" t="str">
        <f>VLOOKUP(B114,S!$A:$D,2,FALSE)</f>
        <v>CONCRETO FCK = 25MPA, TRAÇO 1:2,3:2,7 (CIMENTO/ AREIA MÉDIA/ BRITA 1)  - PREPARO MECÂNICO COM BETONEIRA 600 L. AF_07/2016</v>
      </c>
      <c r="D114" s="84"/>
      <c r="E114" s="84"/>
      <c r="F114" s="85"/>
      <c r="G114" s="6" t="str">
        <f>VLOOKUP(B114,S!$A:$D,3,FALSE)</f>
        <v>M3</v>
      </c>
      <c r="H114" s="20"/>
      <c r="I114" s="20">
        <f>J122</f>
        <v>393.27</v>
      </c>
      <c r="J114" s="70"/>
      <c r="K114" s="71"/>
      <c r="L114" s="20">
        <f>VLOOKUP(B114,S!$A:$D,4,FALSE)</f>
        <v>393.27</v>
      </c>
      <c r="M114" s="6" t="str">
        <f>IF(ROUND((L114-I114),2)=0,"OK, confere com a tabela.",IF(ROUND((L114-I114),2)&lt;0,"ACIMA ("&amp;TEXT(ROUND(I114*100/L114,4),"0,0000")&amp;" %) da tabela.","ABAIXO ("&amp;TEXT(ROUND(I114*100/L114,4),"0,0000")&amp;" %) da tabela."))</f>
        <v>OK, confere com a tabela.</v>
      </c>
    </row>
    <row r="115" spans="1:13" ht="30" customHeight="1" x14ac:dyDescent="0.3">
      <c r="A115" s="17" t="s">
        <v>70</v>
      </c>
      <c r="B115" s="19">
        <v>370</v>
      </c>
      <c r="C115" s="64" t="str">
        <f>VLOOKUP(B115,IF(A115="COMPOSICAO",S!$A:$D,I!$A:$D),2,FALSE)</f>
        <v>AREIA MEDIA - POSTO JAZIDA/FORNECEDOR (RETIRADO NA JAZIDA, SEM TRANSPORTE)</v>
      </c>
      <c r="D115" s="64"/>
      <c r="E115" s="64"/>
      <c r="F115" s="64"/>
      <c r="G115" s="17" t="str">
        <f>VLOOKUP(B115,IF(A115="COMPOSICAO",S!$A:$D,I!$A:$D),3,FALSE)</f>
        <v>M3</v>
      </c>
      <c r="H115" s="28">
        <v>0.72699999999999998</v>
      </c>
      <c r="I115" s="18">
        <f>IF(A115="COMPOSICAO",VLOOKUP("TOTAL - "&amp;B115,COMPOSICAO_AUX_3!$A:$J,10,FALSE),VLOOKUP(B115,I!$A:$D,4,FALSE))</f>
        <v>37</v>
      </c>
      <c r="J115" s="67">
        <f t="shared" ref="J115:J121" si="4">TRUNC(H115*I115,2)</f>
        <v>26.89</v>
      </c>
      <c r="K115" s="68"/>
    </row>
    <row r="116" spans="1:13" ht="15" customHeight="1" x14ac:dyDescent="0.3">
      <c r="A116" s="17" t="s">
        <v>70</v>
      </c>
      <c r="B116" s="19">
        <v>1379</v>
      </c>
      <c r="C116" s="64" t="str">
        <f>VLOOKUP(B116,IF(A116="COMPOSICAO",S!$A:$D,I!$A:$D),2,FALSE)</f>
        <v>CIMENTO PORTLAND COMPOSTO CP II-32</v>
      </c>
      <c r="D116" s="64"/>
      <c r="E116" s="64"/>
      <c r="F116" s="64"/>
      <c r="G116" s="17" t="str">
        <f>VLOOKUP(B116,IF(A116="COMPOSICAO",S!$A:$D,I!$A:$D),3,FALSE)</f>
        <v>KG</v>
      </c>
      <c r="H116" s="18">
        <v>364.94</v>
      </c>
      <c r="I116" s="18">
        <f>IF(A116="COMPOSICAO",VLOOKUP("TOTAL - "&amp;B116,COMPOSICAO_AUX_3!$A:$J,10,FALSE),VLOOKUP(B116,I!$A:$D,4,FALSE))</f>
        <v>0.72</v>
      </c>
      <c r="J116" s="67">
        <f t="shared" si="4"/>
        <v>262.75</v>
      </c>
      <c r="K116" s="68"/>
    </row>
    <row r="117" spans="1:13" ht="30" customHeight="1" x14ac:dyDescent="0.3">
      <c r="A117" s="17" t="s">
        <v>70</v>
      </c>
      <c r="B117" s="19">
        <v>4721</v>
      </c>
      <c r="C117" s="64" t="str">
        <f>VLOOKUP(B117,IF(A117="COMPOSICAO",S!$A:$D,I!$A:$D),2,FALSE)</f>
        <v>PEDRA BRITADA N. 1 (9,5 a 19 MM) POSTO PEDREIRA/FORNECEDOR, SEM FRETE</v>
      </c>
      <c r="D117" s="64"/>
      <c r="E117" s="64"/>
      <c r="F117" s="64"/>
      <c r="G117" s="17" t="str">
        <f>VLOOKUP(B117,IF(A117="COMPOSICAO",S!$A:$D,I!$A:$D),3,FALSE)</f>
        <v>M3</v>
      </c>
      <c r="H117" s="28">
        <v>0.59699999999999998</v>
      </c>
      <c r="I117" s="18">
        <f>IF(A117="COMPOSICAO",VLOOKUP("TOTAL - "&amp;B117,COMPOSICAO_AUX_3!$A:$J,10,FALSE),VLOOKUP(B117,I!$A:$D,4,FALSE))</f>
        <v>76.319999999999993</v>
      </c>
      <c r="J117" s="67">
        <f t="shared" si="4"/>
        <v>45.56</v>
      </c>
      <c r="K117" s="68"/>
    </row>
    <row r="118" spans="1:13" ht="15" customHeight="1" x14ac:dyDescent="0.3">
      <c r="A118" s="17" t="s">
        <v>71</v>
      </c>
      <c r="B118" s="19">
        <v>88316</v>
      </c>
      <c r="C118" s="64" t="str">
        <f>VLOOKUP(B118,IF(A118="COMPOSICAO",S!$A:$D,I!$A:$D),2,FALSE)</f>
        <v>SERVENTE COM ENCARGOS COMPLEMENTARES</v>
      </c>
      <c r="D118" s="64"/>
      <c r="E118" s="64"/>
      <c r="F118" s="64"/>
      <c r="G118" s="17" t="str">
        <f>VLOOKUP(B118,IF(A118="COMPOSICAO",S!$A:$D,I!$A:$D),3,FALSE)</f>
        <v>H</v>
      </c>
      <c r="H118" s="18">
        <v>1.98</v>
      </c>
      <c r="I118" s="18">
        <f>IF(A118="COMPOSICAO",VLOOKUP("TOTAL - "&amp;B118,COMPOSICAO_AUX_3!$A:$J,10,FALSE),VLOOKUP(B118,I!$A:$D,4,FALSE))</f>
        <v>15.35</v>
      </c>
      <c r="J118" s="67">
        <f t="shared" si="4"/>
        <v>30.39</v>
      </c>
      <c r="K118" s="68"/>
    </row>
    <row r="119" spans="1:13" ht="30" customHeight="1" x14ac:dyDescent="0.3">
      <c r="A119" s="17" t="s">
        <v>71</v>
      </c>
      <c r="B119" s="19">
        <v>88377</v>
      </c>
      <c r="C119" s="64" t="str">
        <f>VLOOKUP(B119,IF(A119="COMPOSICAO",S!$A:$D,I!$A:$D),2,FALSE)</f>
        <v>OPERADOR DE BETONEIRA ESTACIONÁRIA/MISTURADOR COM ENCARGOS COMPLEMENTARES</v>
      </c>
      <c r="D119" s="64"/>
      <c r="E119" s="64"/>
      <c r="F119" s="64"/>
      <c r="G119" s="17" t="str">
        <f>VLOOKUP(B119,IF(A119="COMPOSICAO",S!$A:$D,I!$A:$D),3,FALSE)</f>
        <v>H</v>
      </c>
      <c r="H119" s="18">
        <v>1.25</v>
      </c>
      <c r="I119" s="18">
        <f>IF(A119="COMPOSICAO",VLOOKUP("TOTAL - "&amp;B119,COMPOSICAO_AUX_3!$A:$J,10,FALSE),VLOOKUP(B119,I!$A:$D,4,FALSE))</f>
        <v>19.32</v>
      </c>
      <c r="J119" s="67">
        <f t="shared" si="4"/>
        <v>24.15</v>
      </c>
      <c r="K119" s="68"/>
    </row>
    <row r="120" spans="1:13" ht="60" customHeight="1" x14ac:dyDescent="0.3">
      <c r="A120" s="17" t="s">
        <v>71</v>
      </c>
      <c r="B120" s="19">
        <v>89225</v>
      </c>
      <c r="C120" s="64" t="str">
        <f>VLOOKUP(B120,IF(A120="COMPOSICAO",S!$A:$D,I!$A:$D),2,FALSE)</f>
        <v>BETONEIRA CAPACIDADE NOMINAL DE 600 L, CAPACIDADE DE MISTURA 360 L, MOTOR ELÉTRICO TRIFÁSICO POTÊNCIA DE 4 CV, SEM CARREGADOR - CHP DIURNO. AF_11/2014</v>
      </c>
      <c r="D120" s="64"/>
      <c r="E120" s="64"/>
      <c r="F120" s="64"/>
      <c r="G120" s="17" t="str">
        <f>VLOOKUP(B120,IF(A120="COMPOSICAO",S!$A:$D,I!$A:$D),3,FALSE)</f>
        <v>CHP</v>
      </c>
      <c r="H120" s="18">
        <v>0.64</v>
      </c>
      <c r="I120" s="18">
        <f>IF(A120="COMPOSICAO",VLOOKUP("TOTAL - "&amp;B120,COMPOSICAO_AUX_3!$A:$J,10,FALSE),VLOOKUP(B120,I!$A:$D,4,FALSE))</f>
        <v>4.2899999999999991</v>
      </c>
      <c r="J120" s="67">
        <f t="shared" si="4"/>
        <v>2.74</v>
      </c>
      <c r="K120" s="68"/>
    </row>
    <row r="121" spans="1:13" ht="60" customHeight="1" x14ac:dyDescent="0.3">
      <c r="A121" s="17" t="s">
        <v>71</v>
      </c>
      <c r="B121" s="19">
        <v>89226</v>
      </c>
      <c r="C121" s="64" t="str">
        <f>VLOOKUP(B121,IF(A121="COMPOSICAO",S!$A:$D,I!$A:$D),2,FALSE)</f>
        <v>BETONEIRA CAPACIDADE NOMINAL DE 600 L, CAPACIDADE DE MISTURA 360 L, MOTOR ELÉTRICO TRIFÁSICO POTÊNCIA DE 4 CV, SEM CARREGADOR - CHI DIURNO. AF_11/2014</v>
      </c>
      <c r="D121" s="64"/>
      <c r="E121" s="64"/>
      <c r="F121" s="64"/>
      <c r="G121" s="17" t="str">
        <f>VLOOKUP(B121,IF(A121="COMPOSICAO",S!$A:$D,I!$A:$D),3,FALSE)</f>
        <v>CHI</v>
      </c>
      <c r="H121" s="18">
        <v>0.61</v>
      </c>
      <c r="I121" s="18">
        <f>IF(A121="COMPOSICAO",VLOOKUP("TOTAL - "&amp;B121,COMPOSICAO_AUX_3!$A:$J,10,FALSE),VLOOKUP(B121,I!$A:$D,4,FALSE))</f>
        <v>1.2999999999999998</v>
      </c>
      <c r="J121" s="67">
        <f t="shared" si="4"/>
        <v>0.79</v>
      </c>
      <c r="K121" s="68"/>
    </row>
    <row r="122" spans="1:13" ht="15" customHeight="1" x14ac:dyDescent="0.3">
      <c r="A122" s="22" t="s">
        <v>113</v>
      </c>
      <c r="B122" s="23"/>
      <c r="C122" s="23"/>
      <c r="D122" s="23"/>
      <c r="E122" s="23"/>
      <c r="F122" s="23"/>
      <c r="G122" s="24"/>
      <c r="H122" s="25"/>
      <c r="I122" s="26"/>
      <c r="J122" s="67">
        <f>SUM(J114:K121)</f>
        <v>393.27</v>
      </c>
      <c r="K122" s="68"/>
    </row>
    <row r="123" spans="1:13" ht="15" customHeight="1" x14ac:dyDescent="0.3">
      <c r="A123" s="3"/>
      <c r="B123" s="3"/>
      <c r="C123" s="3"/>
      <c r="D123" s="3"/>
      <c r="E123" s="3"/>
      <c r="F123" s="3"/>
      <c r="G123" s="3"/>
      <c r="H123" s="3"/>
      <c r="I123" s="3"/>
      <c r="J123" s="3"/>
      <c r="K123" s="3"/>
    </row>
    <row r="124" spans="1:13" ht="15" customHeight="1" x14ac:dyDescent="0.3">
      <c r="A124" s="10" t="s">
        <v>63</v>
      </c>
      <c r="B124" s="10" t="s">
        <v>24</v>
      </c>
      <c r="C124" s="75" t="s">
        <v>8</v>
      </c>
      <c r="D124" s="76"/>
      <c r="E124" s="76"/>
      <c r="F124" s="76"/>
      <c r="G124" s="6" t="s">
        <v>25</v>
      </c>
      <c r="H124" s="6" t="s">
        <v>64</v>
      </c>
      <c r="I124" s="6" t="s">
        <v>65</v>
      </c>
      <c r="J124" s="62" t="s">
        <v>10</v>
      </c>
      <c r="K124" s="63"/>
    </row>
    <row r="125" spans="1:13" ht="45" customHeight="1" x14ac:dyDescent="0.3">
      <c r="A125" s="6" t="s">
        <v>107</v>
      </c>
      <c r="B125" s="27">
        <v>91533</v>
      </c>
      <c r="C125" s="84" t="str">
        <f>VLOOKUP(B125,S!$A:$D,2,FALSE)</f>
        <v>COMPACTADOR DE SOLOS DE PERCUSSÃO (SOQUETE) COM MOTOR A GASOLINA 4 TEMPOS, POTÊNCIA 4 CV - CHP DIURNO. AF_08/2015</v>
      </c>
      <c r="D125" s="84"/>
      <c r="E125" s="84"/>
      <c r="F125" s="85"/>
      <c r="G125" s="6" t="str">
        <f>VLOOKUP(B125,S!$A:$D,3,FALSE)</f>
        <v>CHP</v>
      </c>
      <c r="H125" s="20"/>
      <c r="I125" s="20">
        <f>J131</f>
        <v>31.289999999999996</v>
      </c>
      <c r="J125" s="70"/>
      <c r="K125" s="71"/>
      <c r="L125" s="20">
        <f>VLOOKUP(B125,S!$A:$D,4,FALSE)</f>
        <v>31.29</v>
      </c>
      <c r="M125" s="6" t="str">
        <f>IF(ROUND((L125-I125),2)=0,"OK, confere com a tabela.",IF(ROUND((L125-I125),2)&lt;0,"ACIMA ("&amp;TEXT(ROUND(I125*100/L125,4),"0,0000")&amp;" %) da tabela.","ABAIXO ("&amp;TEXT(ROUND(I125*100/L125,4),"0,0000")&amp;" %) da tabela."))</f>
        <v>OK, confere com a tabela.</v>
      </c>
    </row>
    <row r="126" spans="1:13" ht="30" customHeight="1" x14ac:dyDescent="0.3">
      <c r="A126" s="17" t="s">
        <v>71</v>
      </c>
      <c r="B126" s="19">
        <v>88297</v>
      </c>
      <c r="C126" s="64" t="str">
        <f>VLOOKUP(B126,IF(A126="COMPOSICAO",S!$A:$D,I!$A:$D),2,FALSE)</f>
        <v>OPERADOR DE MÁQUINAS E EQUIPAMENTOS COM ENCARGOS COMPLEMENTARES</v>
      </c>
      <c r="D126" s="64"/>
      <c r="E126" s="64"/>
      <c r="F126" s="64"/>
      <c r="G126" s="17" t="str">
        <f>VLOOKUP(B126,IF(A126="COMPOSICAO",S!$A:$D,I!$A:$D),3,FALSE)</f>
        <v>H</v>
      </c>
      <c r="H126" s="18">
        <v>1</v>
      </c>
      <c r="I126" s="18">
        <f>IF(A126="COMPOSICAO",VLOOKUP("TOTAL - "&amp;B126,COMPOSICAO_AUX_3!$A:$J,10,FALSE),VLOOKUP(B126,I!$A:$D,4,FALSE))</f>
        <v>24.4</v>
      </c>
      <c r="J126" s="67">
        <f>TRUNC(H126*I126,2)</f>
        <v>24.4</v>
      </c>
      <c r="K126" s="68"/>
    </row>
    <row r="127" spans="1:13" ht="45" customHeight="1" x14ac:dyDescent="0.3">
      <c r="A127" s="17" t="s">
        <v>71</v>
      </c>
      <c r="B127" s="19">
        <v>91529</v>
      </c>
      <c r="C127" s="64" t="str">
        <f>VLOOKUP(B127,IF(A127="COMPOSICAO",S!$A:$D,I!$A:$D),2,FALSE)</f>
        <v>COMPACTADOR DE SOLOS DE PERCUSSÃO (SOQUETE) COM MOTOR A GASOLINA 4 TEMPOS, POTÊNCIA 4 CV - DEPRECIAÇÃO. AF_08/2015</v>
      </c>
      <c r="D127" s="64"/>
      <c r="E127" s="64"/>
      <c r="F127" s="64"/>
      <c r="G127" s="17" t="str">
        <f>VLOOKUP(B127,IF(A127="COMPOSICAO",S!$A:$D,I!$A:$D),3,FALSE)</f>
        <v>H</v>
      </c>
      <c r="H127" s="18">
        <v>1</v>
      </c>
      <c r="I127" s="18">
        <f>IF(A127="COMPOSICAO",VLOOKUP("TOTAL - "&amp;B127,COMPOSICAO_AUX_3!$A:$J,10,FALSE),VLOOKUP(B127,I!$A:$D,4,FALSE))</f>
        <v>0.7</v>
      </c>
      <c r="J127" s="67">
        <f>TRUNC(H127*I127,2)</f>
        <v>0.7</v>
      </c>
      <c r="K127" s="68"/>
    </row>
    <row r="128" spans="1:13" ht="45" customHeight="1" x14ac:dyDescent="0.3">
      <c r="A128" s="17" t="s">
        <v>71</v>
      </c>
      <c r="B128" s="19">
        <v>91530</v>
      </c>
      <c r="C128" s="64" t="str">
        <f>VLOOKUP(B128,IF(A128="COMPOSICAO",S!$A:$D,I!$A:$D),2,FALSE)</f>
        <v>COMPACTADOR DE SOLOS DE PERCUSSÃO (SOQUETE) COM MOTOR A GASOLINA 4 TEMPOS, POTÊNCIA 4 CV - JUROS. AF_08/2015</v>
      </c>
      <c r="D128" s="64"/>
      <c r="E128" s="64"/>
      <c r="F128" s="64"/>
      <c r="G128" s="17" t="str">
        <f>VLOOKUP(B128,IF(A128="COMPOSICAO",S!$A:$D,I!$A:$D),3,FALSE)</f>
        <v>H</v>
      </c>
      <c r="H128" s="18">
        <v>1</v>
      </c>
      <c r="I128" s="18">
        <f>IF(A128="COMPOSICAO",VLOOKUP("TOTAL - "&amp;B128,COMPOSICAO_AUX_3!$A:$J,10,FALSE),VLOOKUP(B128,I!$A:$D,4,FALSE))</f>
        <v>0.09</v>
      </c>
      <c r="J128" s="67">
        <f>TRUNC(H128*I128,2)</f>
        <v>0.09</v>
      </c>
      <c r="K128" s="68"/>
    </row>
    <row r="129" spans="1:13" ht="45" customHeight="1" x14ac:dyDescent="0.3">
      <c r="A129" s="17" t="s">
        <v>71</v>
      </c>
      <c r="B129" s="19">
        <v>91531</v>
      </c>
      <c r="C129" s="64" t="str">
        <f>VLOOKUP(B129,IF(A129="COMPOSICAO",S!$A:$D,I!$A:$D),2,FALSE)</f>
        <v>COMPACTADOR DE SOLOS DE PERCUSSÃO (SOQUETE) COM MOTOR A GASOLINA 4 TEMPOS, POTÊNCIA 4 CV - MANUTENÇÃO. AF_08/2015</v>
      </c>
      <c r="D129" s="64"/>
      <c r="E129" s="64"/>
      <c r="F129" s="64"/>
      <c r="G129" s="17" t="str">
        <f>VLOOKUP(B129,IF(A129="COMPOSICAO",S!$A:$D,I!$A:$D),3,FALSE)</f>
        <v>H</v>
      </c>
      <c r="H129" s="18">
        <v>1</v>
      </c>
      <c r="I129" s="18">
        <f>IF(A129="COMPOSICAO",VLOOKUP("TOTAL - "&amp;B129,COMPOSICAO_AUX_3!$A:$J,10,FALSE),VLOOKUP(B129,I!$A:$D,4,FALSE))</f>
        <v>0.88</v>
      </c>
      <c r="J129" s="67">
        <f>TRUNC(H129*I129,2)</f>
        <v>0.88</v>
      </c>
      <c r="K129" s="68"/>
    </row>
    <row r="130" spans="1:13" ht="45" customHeight="1" x14ac:dyDescent="0.3">
      <c r="A130" s="17" t="s">
        <v>71</v>
      </c>
      <c r="B130" s="19">
        <v>91532</v>
      </c>
      <c r="C130" s="64" t="str">
        <f>VLOOKUP(B130,IF(A130="COMPOSICAO",S!$A:$D,I!$A:$D),2,FALSE)</f>
        <v>COMPACTADOR DE SOLOS DE PERCUSSÃO (SOQUETE) COM MOTOR A GASOLINA 4 TEMPOS, POTÊNCIA 4 CV - MATERIAIS NA OPERAÇÃO. AF_08/2015</v>
      </c>
      <c r="D130" s="64"/>
      <c r="E130" s="64"/>
      <c r="F130" s="64"/>
      <c r="G130" s="17" t="str">
        <f>VLOOKUP(B130,IF(A130="COMPOSICAO",S!$A:$D,I!$A:$D),3,FALSE)</f>
        <v>H</v>
      </c>
      <c r="H130" s="18">
        <v>1</v>
      </c>
      <c r="I130" s="18">
        <f>IF(A130="COMPOSICAO",VLOOKUP("TOTAL - "&amp;B130,COMPOSICAO_AUX_3!$A:$J,10,FALSE),VLOOKUP(B130,I!$A:$D,4,FALSE))</f>
        <v>5.22</v>
      </c>
      <c r="J130" s="67">
        <f>TRUNC(H130*I130,2)</f>
        <v>5.22</v>
      </c>
      <c r="K130" s="68"/>
    </row>
    <row r="131" spans="1:13" ht="15" customHeight="1" x14ac:dyDescent="0.3">
      <c r="A131" s="22" t="s">
        <v>114</v>
      </c>
      <c r="B131" s="23"/>
      <c r="C131" s="23"/>
      <c r="D131" s="23"/>
      <c r="E131" s="23"/>
      <c r="F131" s="23"/>
      <c r="G131" s="24"/>
      <c r="H131" s="25"/>
      <c r="I131" s="26"/>
      <c r="J131" s="67">
        <f>SUM(J125:K130)</f>
        <v>31.289999999999996</v>
      </c>
      <c r="K131" s="68"/>
    </row>
    <row r="132" spans="1:13" ht="15" customHeight="1" x14ac:dyDescent="0.3">
      <c r="A132" s="3"/>
      <c r="B132" s="3"/>
      <c r="C132" s="3"/>
      <c r="D132" s="3"/>
      <c r="E132" s="3"/>
      <c r="F132" s="3"/>
      <c r="G132" s="3"/>
      <c r="H132" s="3"/>
      <c r="I132" s="3"/>
      <c r="J132" s="3"/>
      <c r="K132" s="3"/>
    </row>
    <row r="133" spans="1:13" ht="15" customHeight="1" x14ac:dyDescent="0.3">
      <c r="A133" s="10" t="s">
        <v>63</v>
      </c>
      <c r="B133" s="10" t="s">
        <v>24</v>
      </c>
      <c r="C133" s="75" t="s">
        <v>8</v>
      </c>
      <c r="D133" s="76"/>
      <c r="E133" s="76"/>
      <c r="F133" s="76"/>
      <c r="G133" s="6" t="s">
        <v>25</v>
      </c>
      <c r="H133" s="6" t="s">
        <v>64</v>
      </c>
      <c r="I133" s="6" t="s">
        <v>65</v>
      </c>
      <c r="J133" s="62" t="s">
        <v>10</v>
      </c>
      <c r="K133" s="63"/>
    </row>
    <row r="134" spans="1:13" ht="45" customHeight="1" x14ac:dyDescent="0.3">
      <c r="A134" s="6" t="s">
        <v>107</v>
      </c>
      <c r="B134" s="27">
        <v>91534</v>
      </c>
      <c r="C134" s="84" t="str">
        <f>VLOOKUP(B134,S!$A:$D,2,FALSE)</f>
        <v>COMPACTADOR DE SOLOS DE PERCUSSÃO (SOQUETE) COM MOTOR A GASOLINA 4 TEMPOS, POTÊNCIA 4 CV - CHI DIURNO. AF_08/2015</v>
      </c>
      <c r="D134" s="84"/>
      <c r="E134" s="84"/>
      <c r="F134" s="85"/>
      <c r="G134" s="6" t="str">
        <f>VLOOKUP(B134,S!$A:$D,3,FALSE)</f>
        <v>CHI</v>
      </c>
      <c r="H134" s="20"/>
      <c r="I134" s="20">
        <f>J138</f>
        <v>25.189999999999998</v>
      </c>
      <c r="J134" s="70"/>
      <c r="K134" s="71"/>
      <c r="L134" s="20">
        <f>VLOOKUP(B134,S!$A:$D,4,FALSE)</f>
        <v>25.19</v>
      </c>
      <c r="M134" s="6" t="str">
        <f>IF(ROUND((L134-I134),2)=0,"OK, confere com a tabela.",IF(ROUND((L134-I134),2)&lt;0,"ACIMA ("&amp;TEXT(ROUND(I134*100/L134,4),"0,0000")&amp;" %) da tabela.","ABAIXO ("&amp;TEXT(ROUND(I134*100/L134,4),"0,0000")&amp;" %) da tabela."))</f>
        <v>OK, confere com a tabela.</v>
      </c>
    </row>
    <row r="135" spans="1:13" ht="30" customHeight="1" x14ac:dyDescent="0.3">
      <c r="A135" s="17" t="s">
        <v>71</v>
      </c>
      <c r="B135" s="19">
        <v>88297</v>
      </c>
      <c r="C135" s="64" t="str">
        <f>VLOOKUP(B135,IF(A135="COMPOSICAO",S!$A:$D,I!$A:$D),2,FALSE)</f>
        <v>OPERADOR DE MÁQUINAS E EQUIPAMENTOS COM ENCARGOS COMPLEMENTARES</v>
      </c>
      <c r="D135" s="64"/>
      <c r="E135" s="64"/>
      <c r="F135" s="64"/>
      <c r="G135" s="17" t="str">
        <f>VLOOKUP(B135,IF(A135="COMPOSICAO",S!$A:$D,I!$A:$D),3,FALSE)</f>
        <v>H</v>
      </c>
      <c r="H135" s="18">
        <v>1</v>
      </c>
      <c r="I135" s="18">
        <f>IF(A135="COMPOSICAO",VLOOKUP("TOTAL - "&amp;B135,COMPOSICAO_AUX_3!$A:$J,10,FALSE),VLOOKUP(B135,I!$A:$D,4,FALSE))</f>
        <v>24.4</v>
      </c>
      <c r="J135" s="67">
        <f>TRUNC(H135*I135,2)</f>
        <v>24.4</v>
      </c>
      <c r="K135" s="68"/>
    </row>
    <row r="136" spans="1:13" ht="45" customHeight="1" x14ac:dyDescent="0.3">
      <c r="A136" s="17" t="s">
        <v>71</v>
      </c>
      <c r="B136" s="19">
        <v>91529</v>
      </c>
      <c r="C136" s="64" t="str">
        <f>VLOOKUP(B136,IF(A136="COMPOSICAO",S!$A:$D,I!$A:$D),2,FALSE)</f>
        <v>COMPACTADOR DE SOLOS DE PERCUSSÃO (SOQUETE) COM MOTOR A GASOLINA 4 TEMPOS, POTÊNCIA 4 CV - DEPRECIAÇÃO. AF_08/2015</v>
      </c>
      <c r="D136" s="64"/>
      <c r="E136" s="64"/>
      <c r="F136" s="64"/>
      <c r="G136" s="17" t="str">
        <f>VLOOKUP(B136,IF(A136="COMPOSICAO",S!$A:$D,I!$A:$D),3,FALSE)</f>
        <v>H</v>
      </c>
      <c r="H136" s="18">
        <v>1</v>
      </c>
      <c r="I136" s="18">
        <f>IF(A136="COMPOSICAO",VLOOKUP("TOTAL - "&amp;B136,COMPOSICAO_AUX_3!$A:$J,10,FALSE),VLOOKUP(B136,I!$A:$D,4,FALSE))</f>
        <v>0.7</v>
      </c>
      <c r="J136" s="67">
        <f>TRUNC(H136*I136,2)</f>
        <v>0.7</v>
      </c>
      <c r="K136" s="68"/>
    </row>
    <row r="137" spans="1:13" ht="45" customHeight="1" x14ac:dyDescent="0.3">
      <c r="A137" s="17" t="s">
        <v>71</v>
      </c>
      <c r="B137" s="19">
        <v>91530</v>
      </c>
      <c r="C137" s="64" t="str">
        <f>VLOOKUP(B137,IF(A137="COMPOSICAO",S!$A:$D,I!$A:$D),2,FALSE)</f>
        <v>COMPACTADOR DE SOLOS DE PERCUSSÃO (SOQUETE) COM MOTOR A GASOLINA 4 TEMPOS, POTÊNCIA 4 CV - JUROS. AF_08/2015</v>
      </c>
      <c r="D137" s="64"/>
      <c r="E137" s="64"/>
      <c r="F137" s="64"/>
      <c r="G137" s="17" t="str">
        <f>VLOOKUP(B137,IF(A137="COMPOSICAO",S!$A:$D,I!$A:$D),3,FALSE)</f>
        <v>H</v>
      </c>
      <c r="H137" s="18">
        <v>1</v>
      </c>
      <c r="I137" s="18">
        <f>IF(A137="COMPOSICAO",VLOOKUP("TOTAL - "&amp;B137,COMPOSICAO_AUX_3!$A:$J,10,FALSE),VLOOKUP(B137,I!$A:$D,4,FALSE))</f>
        <v>0.09</v>
      </c>
      <c r="J137" s="67">
        <f>TRUNC(H137*I137,2)</f>
        <v>0.09</v>
      </c>
      <c r="K137" s="68"/>
    </row>
    <row r="138" spans="1:13" ht="15" customHeight="1" x14ac:dyDescent="0.3">
      <c r="A138" s="22" t="s">
        <v>115</v>
      </c>
      <c r="B138" s="23"/>
      <c r="C138" s="23"/>
      <c r="D138" s="23"/>
      <c r="E138" s="23"/>
      <c r="F138" s="23"/>
      <c r="G138" s="24"/>
      <c r="H138" s="25"/>
      <c r="I138" s="26"/>
      <c r="J138" s="67">
        <f>SUM(J134:K137)</f>
        <v>25.189999999999998</v>
      </c>
      <c r="K138" s="68"/>
    </row>
    <row r="139" spans="1:13" ht="15" customHeight="1" x14ac:dyDescent="0.3">
      <c r="A139" s="3"/>
      <c r="B139" s="3"/>
      <c r="C139" s="3"/>
      <c r="D139" s="3"/>
      <c r="E139" s="3"/>
      <c r="F139" s="3"/>
      <c r="G139" s="3"/>
      <c r="H139" s="3"/>
      <c r="I139" s="3"/>
      <c r="J139" s="3"/>
      <c r="K139" s="3"/>
    </row>
    <row r="140" spans="1:13" ht="15" customHeight="1" x14ac:dyDescent="0.3">
      <c r="A140" s="10" t="s">
        <v>63</v>
      </c>
      <c r="B140" s="10" t="s">
        <v>24</v>
      </c>
      <c r="C140" s="75" t="s">
        <v>8</v>
      </c>
      <c r="D140" s="76"/>
      <c r="E140" s="76"/>
      <c r="F140" s="76"/>
      <c r="G140" s="6" t="s">
        <v>25</v>
      </c>
      <c r="H140" s="6" t="s">
        <v>64</v>
      </c>
      <c r="I140" s="6" t="s">
        <v>65</v>
      </c>
      <c r="J140" s="62" t="s">
        <v>10</v>
      </c>
      <c r="K140" s="63"/>
    </row>
    <row r="141" spans="1:13" ht="30" customHeight="1" x14ac:dyDescent="0.3">
      <c r="A141" s="6" t="s">
        <v>87</v>
      </c>
      <c r="B141" s="27">
        <v>88248</v>
      </c>
      <c r="C141" s="84" t="str">
        <f>VLOOKUP(B141,S!$A:$D,2,FALSE)</f>
        <v>AUXILIAR DE ENCANADOR OU BOMBEIRO HIDRÁULICO COM ENCARGOS COMPLEMENTARES</v>
      </c>
      <c r="D141" s="84"/>
      <c r="E141" s="84"/>
      <c r="F141" s="85"/>
      <c r="G141" s="6" t="str">
        <f>VLOOKUP(B141,S!$A:$D,3,FALSE)</f>
        <v>H</v>
      </c>
      <c r="H141" s="20"/>
      <c r="I141" s="20">
        <f>J150</f>
        <v>14.96</v>
      </c>
      <c r="J141" s="70"/>
      <c r="K141" s="71"/>
      <c r="L141" s="20">
        <f>VLOOKUP(B141,S!$A:$D,4,FALSE)</f>
        <v>14.96</v>
      </c>
      <c r="M141" s="6" t="str">
        <f>IF(ROUND((L141-I141),2)=0,"OK, confere com a tabela.",IF(ROUND((L141-I141),2)&lt;0,"ACIMA ("&amp;TEXT(ROUND(I141*100/L141,4),"0,0000")&amp;" %) da tabela.","ABAIXO ("&amp;TEXT(ROUND(I141*100/L141,4),"0,0000")&amp;" %) da tabela."))</f>
        <v>OK, confere com a tabela.</v>
      </c>
    </row>
    <row r="142" spans="1:13" ht="15" customHeight="1" x14ac:dyDescent="0.3">
      <c r="A142" s="17" t="s">
        <v>70</v>
      </c>
      <c r="B142" s="19">
        <v>246</v>
      </c>
      <c r="C142" s="64" t="str">
        <f>VLOOKUP(B142,IF(A142="COMPOSICAO",S!$A:$D,I!$A:$D),2,FALSE)</f>
        <v>AUXILIAR DE ENCANADOR OU BOMBEIRO HIDRAULICO</v>
      </c>
      <c r="D142" s="64"/>
      <c r="E142" s="64"/>
      <c r="F142" s="64"/>
      <c r="G142" s="17" t="str">
        <f>VLOOKUP(B142,IF(A142="COMPOSICAO",S!$A:$D,I!$A:$D),3,FALSE)</f>
        <v>H</v>
      </c>
      <c r="H142" s="18">
        <v>1</v>
      </c>
      <c r="I142" s="18">
        <f>IF(A142="COMPOSICAO",VLOOKUP("TOTAL - "&amp;B142,COMPOSICAO_AUX_3!$A:$J,10,FALSE),VLOOKUP(B142,I!$A:$D,4,FALSE))</f>
        <v>10.58</v>
      </c>
      <c r="J142" s="67">
        <f t="shared" ref="J142:J149" si="5">TRUNC(H142*I142,2)</f>
        <v>10.58</v>
      </c>
      <c r="K142" s="68"/>
    </row>
    <row r="143" spans="1:13" ht="15" customHeight="1" x14ac:dyDescent="0.3">
      <c r="A143" s="17" t="s">
        <v>70</v>
      </c>
      <c r="B143" s="19">
        <v>37370</v>
      </c>
      <c r="C143" s="64" t="str">
        <f>VLOOKUP(B143,IF(A143="COMPOSICAO",S!$A:$D,I!$A:$D),2,FALSE)</f>
        <v>ALIMENTACAO - HORISTA (COLETADO CAIXA)</v>
      </c>
      <c r="D143" s="64"/>
      <c r="E143" s="64"/>
      <c r="F143" s="64"/>
      <c r="G143" s="17" t="str">
        <f>VLOOKUP(B143,IF(A143="COMPOSICAO",S!$A:$D,I!$A:$D),3,FALSE)</f>
        <v>H</v>
      </c>
      <c r="H143" s="18">
        <v>1</v>
      </c>
      <c r="I143" s="18">
        <f>IF(A143="COMPOSICAO",VLOOKUP("TOTAL - "&amp;B143,COMPOSICAO_AUX_3!$A:$J,10,FALSE),VLOOKUP(B143,I!$A:$D,4,FALSE))</f>
        <v>1.86</v>
      </c>
      <c r="J143" s="67">
        <f t="shared" si="5"/>
        <v>1.86</v>
      </c>
      <c r="K143" s="68"/>
    </row>
    <row r="144" spans="1:13" ht="15" customHeight="1" x14ac:dyDescent="0.3">
      <c r="A144" s="17" t="s">
        <v>70</v>
      </c>
      <c r="B144" s="19">
        <v>37371</v>
      </c>
      <c r="C144" s="64" t="str">
        <f>VLOOKUP(B144,IF(A144="COMPOSICAO",S!$A:$D,I!$A:$D),2,FALSE)</f>
        <v>TRANSPORTE - HORISTA (COLETADO CAIXA)</v>
      </c>
      <c r="D144" s="64"/>
      <c r="E144" s="64"/>
      <c r="F144" s="64"/>
      <c r="G144" s="17" t="str">
        <f>VLOOKUP(B144,IF(A144="COMPOSICAO",S!$A:$D,I!$A:$D),3,FALSE)</f>
        <v>H</v>
      </c>
      <c r="H144" s="18">
        <v>1</v>
      </c>
      <c r="I144" s="18">
        <f>IF(A144="COMPOSICAO",VLOOKUP("TOTAL - "&amp;B144,COMPOSICAO_AUX_3!$A:$J,10,FALSE),VLOOKUP(B144,I!$A:$D,4,FALSE))</f>
        <v>0.7</v>
      </c>
      <c r="J144" s="67">
        <f t="shared" si="5"/>
        <v>0.7</v>
      </c>
      <c r="K144" s="68"/>
    </row>
    <row r="145" spans="1:13" ht="15" customHeight="1" x14ac:dyDescent="0.3">
      <c r="A145" s="17" t="s">
        <v>70</v>
      </c>
      <c r="B145" s="19">
        <v>37372</v>
      </c>
      <c r="C145" s="64" t="str">
        <f>VLOOKUP(B145,IF(A145="COMPOSICAO",S!$A:$D,I!$A:$D),2,FALSE)</f>
        <v>EXAMES - HORISTA (COLETADO CAIXA)</v>
      </c>
      <c r="D145" s="64"/>
      <c r="E145" s="64"/>
      <c r="F145" s="64"/>
      <c r="G145" s="17" t="str">
        <f>VLOOKUP(B145,IF(A145="COMPOSICAO",S!$A:$D,I!$A:$D),3,FALSE)</f>
        <v>H</v>
      </c>
      <c r="H145" s="18">
        <v>1</v>
      </c>
      <c r="I145" s="18">
        <f>IF(A145="COMPOSICAO",VLOOKUP("TOTAL - "&amp;B145,COMPOSICAO_AUX_3!$A:$J,10,FALSE),VLOOKUP(B145,I!$A:$D,4,FALSE))</f>
        <v>0.55000000000000004</v>
      </c>
      <c r="J145" s="67">
        <f t="shared" si="5"/>
        <v>0.55000000000000004</v>
      </c>
      <c r="K145" s="68"/>
    </row>
    <row r="146" spans="1:13" ht="15" customHeight="1" x14ac:dyDescent="0.3">
      <c r="A146" s="17" t="s">
        <v>70</v>
      </c>
      <c r="B146" s="19">
        <v>37373</v>
      </c>
      <c r="C146" s="64" t="str">
        <f>VLOOKUP(B146,IF(A146="COMPOSICAO",S!$A:$D,I!$A:$D),2,FALSE)</f>
        <v>SEGURO - HORISTA (COLETADO CAIXA)</v>
      </c>
      <c r="D146" s="64"/>
      <c r="E146" s="64"/>
      <c r="F146" s="64"/>
      <c r="G146" s="17" t="str">
        <f>VLOOKUP(B146,IF(A146="COMPOSICAO",S!$A:$D,I!$A:$D),3,FALSE)</f>
        <v>H</v>
      </c>
      <c r="H146" s="18">
        <v>1</v>
      </c>
      <c r="I146" s="18">
        <f>IF(A146="COMPOSICAO",VLOOKUP("TOTAL - "&amp;B146,COMPOSICAO_AUX_3!$A:$J,10,FALSE),VLOOKUP(B146,I!$A:$D,4,FALSE))</f>
        <v>0.06</v>
      </c>
      <c r="J146" s="67">
        <f t="shared" si="5"/>
        <v>0.06</v>
      </c>
      <c r="K146" s="68"/>
    </row>
    <row r="147" spans="1:13" ht="30" customHeight="1" x14ac:dyDescent="0.3">
      <c r="A147" s="17" t="s">
        <v>70</v>
      </c>
      <c r="B147" s="19">
        <v>43461</v>
      </c>
      <c r="C147" s="64" t="str">
        <f>VLOOKUP(B147,IF(A147="COMPOSICAO",S!$A:$D,I!$A:$D),2,FALSE)</f>
        <v>FERRAMENTAS - FAMILIA ENCANADOR - HORISTA (ENCARGOS COMPLEMENTARES - COLETADO CAIXA)</v>
      </c>
      <c r="D147" s="64"/>
      <c r="E147" s="64"/>
      <c r="F147" s="64"/>
      <c r="G147" s="17" t="str">
        <f>VLOOKUP(B147,IF(A147="COMPOSICAO",S!$A:$D,I!$A:$D),3,FALSE)</f>
        <v>H</v>
      </c>
      <c r="H147" s="18">
        <v>1</v>
      </c>
      <c r="I147" s="18">
        <f>IF(A147="COMPOSICAO",VLOOKUP("TOTAL - "&amp;B147,COMPOSICAO_AUX_3!$A:$J,10,FALSE),VLOOKUP(B147,I!$A:$D,4,FALSE))</f>
        <v>0.28000000000000003</v>
      </c>
      <c r="J147" s="67">
        <f t="shared" si="5"/>
        <v>0.28000000000000003</v>
      </c>
      <c r="K147" s="68"/>
    </row>
    <row r="148" spans="1:13" ht="30" customHeight="1" x14ac:dyDescent="0.3">
      <c r="A148" s="17" t="s">
        <v>70</v>
      </c>
      <c r="B148" s="19">
        <v>43485</v>
      </c>
      <c r="C148" s="64" t="str">
        <f>VLOOKUP(B148,IF(A148="COMPOSICAO",S!$A:$D,I!$A:$D),2,FALSE)</f>
        <v>EPI - FAMILIA ENCANADOR - HORISTA (ENCARGOS COMPLEMENTARES - COLETADO CAIXA)</v>
      </c>
      <c r="D148" s="64"/>
      <c r="E148" s="64"/>
      <c r="F148" s="64"/>
      <c r="G148" s="17" t="str">
        <f>VLOOKUP(B148,IF(A148="COMPOSICAO",S!$A:$D,I!$A:$D),3,FALSE)</f>
        <v>H</v>
      </c>
      <c r="H148" s="18">
        <v>1</v>
      </c>
      <c r="I148" s="18">
        <f>IF(A148="COMPOSICAO",VLOOKUP("TOTAL - "&amp;B148,COMPOSICAO_AUX_3!$A:$J,10,FALSE),VLOOKUP(B148,I!$A:$D,4,FALSE))</f>
        <v>0.8</v>
      </c>
      <c r="J148" s="67">
        <f t="shared" si="5"/>
        <v>0.8</v>
      </c>
      <c r="K148" s="68"/>
    </row>
    <row r="149" spans="1:13" ht="45" customHeight="1" x14ac:dyDescent="0.3">
      <c r="A149" s="17" t="s">
        <v>71</v>
      </c>
      <c r="B149" s="19">
        <v>95317</v>
      </c>
      <c r="C149" s="64" t="str">
        <f>VLOOKUP(B149,IF(A149="COMPOSICAO",S!$A:$D,I!$A:$D),2,FALSE)</f>
        <v>CURSO DE CAPACITAÇÃO PARA AUXILIAR DE ENCANADOR OU BOMBEIRO HIDRÁULICO (ENCARGOS COMPLEMENTARES) - HORISTA</v>
      </c>
      <c r="D149" s="64"/>
      <c r="E149" s="64"/>
      <c r="F149" s="64"/>
      <c r="G149" s="17" t="str">
        <f>VLOOKUP(B149,IF(A149="COMPOSICAO",S!$A:$D,I!$A:$D),3,FALSE)</f>
        <v>H</v>
      </c>
      <c r="H149" s="18">
        <v>1</v>
      </c>
      <c r="I149" s="18">
        <f>IF(A149="COMPOSICAO",VLOOKUP("TOTAL - "&amp;B149,COMPOSICAO_AUX_3!$A:$J,10,FALSE),VLOOKUP(B149,I!$A:$D,4,FALSE))</f>
        <v>0.13</v>
      </c>
      <c r="J149" s="67">
        <f t="shared" si="5"/>
        <v>0.13</v>
      </c>
      <c r="K149" s="68"/>
    </row>
    <row r="150" spans="1:13" ht="15" customHeight="1" x14ac:dyDescent="0.3">
      <c r="A150" s="22" t="s">
        <v>116</v>
      </c>
      <c r="B150" s="23"/>
      <c r="C150" s="23"/>
      <c r="D150" s="23"/>
      <c r="E150" s="23"/>
      <c r="F150" s="23"/>
      <c r="G150" s="24"/>
      <c r="H150" s="25"/>
      <c r="I150" s="26"/>
      <c r="J150" s="67">
        <f>SUM(J141:K149)</f>
        <v>14.96</v>
      </c>
      <c r="K150" s="68"/>
    </row>
    <row r="151" spans="1:13" ht="15" customHeight="1" x14ac:dyDescent="0.3">
      <c r="A151" s="3"/>
      <c r="B151" s="3"/>
      <c r="C151" s="3"/>
      <c r="D151" s="3"/>
      <c r="E151" s="3"/>
      <c r="F151" s="3"/>
      <c r="G151" s="3"/>
      <c r="H151" s="3"/>
      <c r="I151" s="3"/>
      <c r="J151" s="3"/>
      <c r="K151" s="3"/>
    </row>
    <row r="152" spans="1:13" ht="15" customHeight="1" x14ac:dyDescent="0.3">
      <c r="A152" s="10" t="s">
        <v>63</v>
      </c>
      <c r="B152" s="10" t="s">
        <v>24</v>
      </c>
      <c r="C152" s="75" t="s">
        <v>8</v>
      </c>
      <c r="D152" s="76"/>
      <c r="E152" s="76"/>
      <c r="F152" s="76"/>
      <c r="G152" s="6" t="s">
        <v>25</v>
      </c>
      <c r="H152" s="6" t="s">
        <v>64</v>
      </c>
      <c r="I152" s="6" t="s">
        <v>65</v>
      </c>
      <c r="J152" s="62" t="s">
        <v>10</v>
      </c>
      <c r="K152" s="63"/>
    </row>
    <row r="153" spans="1:13" ht="30" customHeight="1" x14ac:dyDescent="0.3">
      <c r="A153" s="6" t="s">
        <v>87</v>
      </c>
      <c r="B153" s="27">
        <v>88267</v>
      </c>
      <c r="C153" s="84" t="str">
        <f>VLOOKUP(B153,S!$A:$D,2,FALSE)</f>
        <v>ENCANADOR OU BOMBEIRO HIDRÁULICO COM ENCARGOS COMPLEMENTARES</v>
      </c>
      <c r="D153" s="84"/>
      <c r="E153" s="84"/>
      <c r="F153" s="85"/>
      <c r="G153" s="6" t="str">
        <f>VLOOKUP(B153,S!$A:$D,3,FALSE)</f>
        <v>H</v>
      </c>
      <c r="H153" s="20"/>
      <c r="I153" s="20">
        <f>J162</f>
        <v>19.37</v>
      </c>
      <c r="J153" s="70"/>
      <c r="K153" s="71"/>
      <c r="L153" s="20">
        <f>VLOOKUP(B153,S!$A:$D,4,FALSE)</f>
        <v>19.37</v>
      </c>
      <c r="M153" s="6" t="str">
        <f>IF(ROUND((L153-I153),2)=0,"OK, confere com a tabela.",IF(ROUND((L153-I153),2)&lt;0,"ACIMA ("&amp;TEXT(ROUND(I153*100/L153,4),"0,0000")&amp;" %) da tabela.","ABAIXO ("&amp;TEXT(ROUND(I153*100/L153,4),"0,0000")&amp;" %) da tabela."))</f>
        <v>OK, confere com a tabela.</v>
      </c>
    </row>
    <row r="154" spans="1:13" ht="15" customHeight="1" x14ac:dyDescent="0.3">
      <c r="A154" s="17" t="s">
        <v>70</v>
      </c>
      <c r="B154" s="19">
        <v>2696</v>
      </c>
      <c r="C154" s="64" t="str">
        <f>VLOOKUP(B154,IF(A154="COMPOSICAO",S!$A:$D,I!$A:$D),2,FALSE)</f>
        <v>ENCANADOR OU BOMBEIRO HIDRAULICO</v>
      </c>
      <c r="D154" s="64"/>
      <c r="E154" s="64"/>
      <c r="F154" s="64"/>
      <c r="G154" s="17" t="str">
        <f>VLOOKUP(B154,IF(A154="COMPOSICAO",S!$A:$D,I!$A:$D),3,FALSE)</f>
        <v>H</v>
      </c>
      <c r="H154" s="18">
        <v>1</v>
      </c>
      <c r="I154" s="18">
        <f>IF(A154="COMPOSICAO",VLOOKUP("TOTAL - "&amp;B154,COMPOSICAO_AUX_3!$A:$J,10,FALSE),VLOOKUP(B154,I!$A:$D,4,FALSE))</f>
        <v>14.93</v>
      </c>
      <c r="J154" s="67">
        <f t="shared" ref="J154:J161" si="6">TRUNC(H154*I154,2)</f>
        <v>14.93</v>
      </c>
      <c r="K154" s="68"/>
    </row>
    <row r="155" spans="1:13" ht="15" customHeight="1" x14ac:dyDescent="0.3">
      <c r="A155" s="17" t="s">
        <v>70</v>
      </c>
      <c r="B155" s="19">
        <v>37370</v>
      </c>
      <c r="C155" s="64" t="str">
        <f>VLOOKUP(B155,IF(A155="COMPOSICAO",S!$A:$D,I!$A:$D),2,FALSE)</f>
        <v>ALIMENTACAO - HORISTA (COLETADO CAIXA)</v>
      </c>
      <c r="D155" s="64"/>
      <c r="E155" s="64"/>
      <c r="F155" s="64"/>
      <c r="G155" s="17" t="str">
        <f>VLOOKUP(B155,IF(A155="COMPOSICAO",S!$A:$D,I!$A:$D),3,FALSE)</f>
        <v>H</v>
      </c>
      <c r="H155" s="18">
        <v>1</v>
      </c>
      <c r="I155" s="18">
        <f>IF(A155="COMPOSICAO",VLOOKUP("TOTAL - "&amp;B155,COMPOSICAO_AUX_3!$A:$J,10,FALSE),VLOOKUP(B155,I!$A:$D,4,FALSE))</f>
        <v>1.86</v>
      </c>
      <c r="J155" s="67">
        <f t="shared" si="6"/>
        <v>1.86</v>
      </c>
      <c r="K155" s="68"/>
    </row>
    <row r="156" spans="1:13" ht="15" customHeight="1" x14ac:dyDescent="0.3">
      <c r="A156" s="17" t="s">
        <v>70</v>
      </c>
      <c r="B156" s="19">
        <v>37371</v>
      </c>
      <c r="C156" s="64" t="str">
        <f>VLOOKUP(B156,IF(A156="COMPOSICAO",S!$A:$D,I!$A:$D),2,FALSE)</f>
        <v>TRANSPORTE - HORISTA (COLETADO CAIXA)</v>
      </c>
      <c r="D156" s="64"/>
      <c r="E156" s="64"/>
      <c r="F156" s="64"/>
      <c r="G156" s="17" t="str">
        <f>VLOOKUP(B156,IF(A156="COMPOSICAO",S!$A:$D,I!$A:$D),3,FALSE)</f>
        <v>H</v>
      </c>
      <c r="H156" s="18">
        <v>1</v>
      </c>
      <c r="I156" s="18">
        <f>IF(A156="COMPOSICAO",VLOOKUP("TOTAL - "&amp;B156,COMPOSICAO_AUX_3!$A:$J,10,FALSE),VLOOKUP(B156,I!$A:$D,4,FALSE))</f>
        <v>0.7</v>
      </c>
      <c r="J156" s="67">
        <f t="shared" si="6"/>
        <v>0.7</v>
      </c>
      <c r="K156" s="68"/>
    </row>
    <row r="157" spans="1:13" ht="15" customHeight="1" x14ac:dyDescent="0.3">
      <c r="A157" s="17" t="s">
        <v>70</v>
      </c>
      <c r="B157" s="19">
        <v>37372</v>
      </c>
      <c r="C157" s="64" t="str">
        <f>VLOOKUP(B157,IF(A157="COMPOSICAO",S!$A:$D,I!$A:$D),2,FALSE)</f>
        <v>EXAMES - HORISTA (COLETADO CAIXA)</v>
      </c>
      <c r="D157" s="64"/>
      <c r="E157" s="64"/>
      <c r="F157" s="64"/>
      <c r="G157" s="17" t="str">
        <f>VLOOKUP(B157,IF(A157="COMPOSICAO",S!$A:$D,I!$A:$D),3,FALSE)</f>
        <v>H</v>
      </c>
      <c r="H157" s="18">
        <v>1</v>
      </c>
      <c r="I157" s="18">
        <f>IF(A157="COMPOSICAO",VLOOKUP("TOTAL - "&amp;B157,COMPOSICAO_AUX_3!$A:$J,10,FALSE),VLOOKUP(B157,I!$A:$D,4,FALSE))</f>
        <v>0.55000000000000004</v>
      </c>
      <c r="J157" s="67">
        <f t="shared" si="6"/>
        <v>0.55000000000000004</v>
      </c>
      <c r="K157" s="68"/>
    </row>
    <row r="158" spans="1:13" ht="15" customHeight="1" x14ac:dyDescent="0.3">
      <c r="A158" s="17" t="s">
        <v>70</v>
      </c>
      <c r="B158" s="19">
        <v>37373</v>
      </c>
      <c r="C158" s="64" t="str">
        <f>VLOOKUP(B158,IF(A158="COMPOSICAO",S!$A:$D,I!$A:$D),2,FALSE)</f>
        <v>SEGURO - HORISTA (COLETADO CAIXA)</v>
      </c>
      <c r="D158" s="64"/>
      <c r="E158" s="64"/>
      <c r="F158" s="64"/>
      <c r="G158" s="17" t="str">
        <f>VLOOKUP(B158,IF(A158="COMPOSICAO",S!$A:$D,I!$A:$D),3,FALSE)</f>
        <v>H</v>
      </c>
      <c r="H158" s="18">
        <v>1</v>
      </c>
      <c r="I158" s="18">
        <f>IF(A158="COMPOSICAO",VLOOKUP("TOTAL - "&amp;B158,COMPOSICAO_AUX_3!$A:$J,10,FALSE),VLOOKUP(B158,I!$A:$D,4,FALSE))</f>
        <v>0.06</v>
      </c>
      <c r="J158" s="67">
        <f t="shared" si="6"/>
        <v>0.06</v>
      </c>
      <c r="K158" s="68"/>
    </row>
    <row r="159" spans="1:13" ht="30" customHeight="1" x14ac:dyDescent="0.3">
      <c r="A159" s="17" t="s">
        <v>70</v>
      </c>
      <c r="B159" s="19">
        <v>43461</v>
      </c>
      <c r="C159" s="64" t="str">
        <f>VLOOKUP(B159,IF(A159="COMPOSICAO",S!$A:$D,I!$A:$D),2,FALSE)</f>
        <v>FERRAMENTAS - FAMILIA ENCANADOR - HORISTA (ENCARGOS COMPLEMENTARES - COLETADO CAIXA)</v>
      </c>
      <c r="D159" s="64"/>
      <c r="E159" s="64"/>
      <c r="F159" s="64"/>
      <c r="G159" s="17" t="str">
        <f>VLOOKUP(B159,IF(A159="COMPOSICAO",S!$A:$D,I!$A:$D),3,FALSE)</f>
        <v>H</v>
      </c>
      <c r="H159" s="18">
        <v>1</v>
      </c>
      <c r="I159" s="18">
        <f>IF(A159="COMPOSICAO",VLOOKUP("TOTAL - "&amp;B159,COMPOSICAO_AUX_3!$A:$J,10,FALSE),VLOOKUP(B159,I!$A:$D,4,FALSE))</f>
        <v>0.28000000000000003</v>
      </c>
      <c r="J159" s="67">
        <f t="shared" si="6"/>
        <v>0.28000000000000003</v>
      </c>
      <c r="K159" s="68"/>
    </row>
    <row r="160" spans="1:13" ht="30" customHeight="1" x14ac:dyDescent="0.3">
      <c r="A160" s="17" t="s">
        <v>70</v>
      </c>
      <c r="B160" s="19">
        <v>43485</v>
      </c>
      <c r="C160" s="64" t="str">
        <f>VLOOKUP(B160,IF(A160="COMPOSICAO",S!$A:$D,I!$A:$D),2,FALSE)</f>
        <v>EPI - FAMILIA ENCANADOR - HORISTA (ENCARGOS COMPLEMENTARES - COLETADO CAIXA)</v>
      </c>
      <c r="D160" s="64"/>
      <c r="E160" s="64"/>
      <c r="F160" s="64"/>
      <c r="G160" s="17" t="str">
        <f>VLOOKUP(B160,IF(A160="COMPOSICAO",S!$A:$D,I!$A:$D),3,FALSE)</f>
        <v>H</v>
      </c>
      <c r="H160" s="18">
        <v>1</v>
      </c>
      <c r="I160" s="18">
        <f>IF(A160="COMPOSICAO",VLOOKUP("TOTAL - "&amp;B160,COMPOSICAO_AUX_3!$A:$J,10,FALSE),VLOOKUP(B160,I!$A:$D,4,FALSE))</f>
        <v>0.8</v>
      </c>
      <c r="J160" s="67">
        <f t="shared" si="6"/>
        <v>0.8</v>
      </c>
      <c r="K160" s="68"/>
    </row>
    <row r="161" spans="1:13" ht="45" customHeight="1" x14ac:dyDescent="0.3">
      <c r="A161" s="17" t="s">
        <v>71</v>
      </c>
      <c r="B161" s="19">
        <v>95335</v>
      </c>
      <c r="C161" s="64" t="str">
        <f>VLOOKUP(B161,IF(A161="COMPOSICAO",S!$A:$D,I!$A:$D),2,FALSE)</f>
        <v>CURSO DE CAPACITAÇÃO PARA ENCANADOR OU BOMBEIRO HIDRÁULICO (ENCARGOS COMPLEMENTARES) - HORISTA</v>
      </c>
      <c r="D161" s="64"/>
      <c r="E161" s="64"/>
      <c r="F161" s="64"/>
      <c r="G161" s="17" t="str">
        <f>VLOOKUP(B161,IF(A161="COMPOSICAO",S!$A:$D,I!$A:$D),3,FALSE)</f>
        <v>H</v>
      </c>
      <c r="H161" s="18">
        <v>1</v>
      </c>
      <c r="I161" s="18">
        <f>IF(A161="COMPOSICAO",VLOOKUP("TOTAL - "&amp;B161,COMPOSICAO_AUX_3!$A:$J,10,FALSE),VLOOKUP(B161,I!$A:$D,4,FALSE))</f>
        <v>0.19</v>
      </c>
      <c r="J161" s="67">
        <f t="shared" si="6"/>
        <v>0.19</v>
      </c>
      <c r="K161" s="68"/>
    </row>
    <row r="162" spans="1:13" ht="15" customHeight="1" x14ac:dyDescent="0.3">
      <c r="A162" s="22" t="s">
        <v>117</v>
      </c>
      <c r="B162" s="23"/>
      <c r="C162" s="23"/>
      <c r="D162" s="23"/>
      <c r="E162" s="23"/>
      <c r="F162" s="23"/>
      <c r="G162" s="24"/>
      <c r="H162" s="25"/>
      <c r="I162" s="26"/>
      <c r="J162" s="67">
        <f>SUM(J153:K161)</f>
        <v>19.37</v>
      </c>
      <c r="K162" s="68"/>
    </row>
    <row r="163" spans="1:13" ht="15" customHeight="1" x14ac:dyDescent="0.3">
      <c r="A163" s="3"/>
      <c r="B163" s="3"/>
      <c r="C163" s="3"/>
      <c r="D163" s="3"/>
      <c r="E163" s="3"/>
      <c r="F163" s="3"/>
      <c r="G163" s="3"/>
      <c r="H163" s="3"/>
      <c r="I163" s="3"/>
      <c r="J163" s="3"/>
      <c r="K163" s="3"/>
    </row>
    <row r="164" spans="1:13" ht="15" customHeight="1" x14ac:dyDescent="0.3">
      <c r="A164" s="10" t="s">
        <v>63</v>
      </c>
      <c r="B164" s="10" t="s">
        <v>24</v>
      </c>
      <c r="C164" s="75" t="s">
        <v>8</v>
      </c>
      <c r="D164" s="76"/>
      <c r="E164" s="76"/>
      <c r="F164" s="76"/>
      <c r="G164" s="6" t="s">
        <v>25</v>
      </c>
      <c r="H164" s="6" t="s">
        <v>64</v>
      </c>
      <c r="I164" s="6" t="s">
        <v>65</v>
      </c>
      <c r="J164" s="62" t="s">
        <v>10</v>
      </c>
      <c r="K164" s="63"/>
    </row>
    <row r="165" spans="1:13" ht="75" customHeight="1" x14ac:dyDescent="0.3">
      <c r="A165" s="6" t="s">
        <v>107</v>
      </c>
      <c r="B165" s="27">
        <v>5928</v>
      </c>
      <c r="C165" s="84" t="str">
        <f>VLOOKUP(B165,S!$A:$D,2,FALSE)</f>
        <v>GUINDAUTO HIDRÁULICO, CAPACIDADE MÁXIMA DE CARGA 6200 KG, MOMENTO MÁXIMO DE CARGA 11,7 TM, ALCANCE MÁXIMO HORIZONTAL 9,70 M, INCLUSIVE CAMINHÃO TOCO PBT 16.000 KG, POTÊNCIA DE 189 CV - CHP DIURNO. AF_06/2014</v>
      </c>
      <c r="D165" s="84"/>
      <c r="E165" s="84"/>
      <c r="F165" s="85"/>
      <c r="G165" s="6" t="str">
        <f>VLOOKUP(B165,S!$A:$D,3,FALSE)</f>
        <v>CHP</v>
      </c>
      <c r="H165" s="20"/>
      <c r="I165" s="20">
        <f>J172</f>
        <v>169.63</v>
      </c>
      <c r="J165" s="70"/>
      <c r="K165" s="71"/>
      <c r="L165" s="20">
        <f>VLOOKUP(B165,S!$A:$D,4,FALSE)</f>
        <v>169.63</v>
      </c>
      <c r="M165" s="6" t="str">
        <f>IF(ROUND((L165-I165),2)=0,"OK, confere com a tabela.",IF(ROUND((L165-I165),2)&lt;0,"ACIMA ("&amp;TEXT(ROUND(I165*100/L165,4),"0,0000")&amp;" %) da tabela.","ABAIXO ("&amp;TEXT(ROUND(I165*100/L165,4),"0,0000")&amp;" %) da tabela."))</f>
        <v>OK, confere com a tabela.</v>
      </c>
    </row>
    <row r="166" spans="1:13" ht="30" customHeight="1" x14ac:dyDescent="0.3">
      <c r="A166" s="17" t="s">
        <v>71</v>
      </c>
      <c r="B166" s="19">
        <v>88286</v>
      </c>
      <c r="C166" s="64" t="str">
        <f>VLOOKUP(B166,IF(A166="COMPOSICAO",S!$A:$D,I!$A:$D),2,FALSE)</f>
        <v>MOTORISTA OPERADOR DE MUNCK COM ENCARGOS COMPLEMENTARES</v>
      </c>
      <c r="D166" s="64"/>
      <c r="E166" s="64"/>
      <c r="F166" s="64"/>
      <c r="G166" s="17" t="str">
        <f>VLOOKUP(B166,IF(A166="COMPOSICAO",S!$A:$D,I!$A:$D),3,FALSE)</f>
        <v>H</v>
      </c>
      <c r="H166" s="18">
        <v>1</v>
      </c>
      <c r="I166" s="18">
        <f>IF(A166="COMPOSICAO",VLOOKUP("TOTAL - "&amp;B166,COMPOSICAO_AUX_3!$A:$J,10,FALSE),VLOOKUP(B166,I!$A:$D,4,FALSE))</f>
        <v>24.47</v>
      </c>
      <c r="J166" s="67">
        <f t="shared" ref="J166:J171" si="7">TRUNC(H166*I166,2)</f>
        <v>24.47</v>
      </c>
      <c r="K166" s="68"/>
    </row>
    <row r="167" spans="1:13" ht="75" customHeight="1" x14ac:dyDescent="0.3">
      <c r="A167" s="17" t="s">
        <v>71</v>
      </c>
      <c r="B167" s="19">
        <v>89259</v>
      </c>
      <c r="C167" s="64" t="str">
        <f>VLOOKUP(B167,IF(A167="COMPOSICAO",S!$A:$D,I!$A:$D),2,FALSE)</f>
        <v>GUINDAUTO HIDRÁULICO, CAPACIDADE MÁXIMA DE CARGA 6200 KG, MOMENTO MÁXIMO DE CARGA 11,7 TM, ALCANCE MÁXIMO HORIZONTAL 9,70 M, INCLUSIVE CAMINHÃO TOCO PBT 16.000 KG, POTÊNCIA DE 189 CV - DEPRECIAÇÃO. AF_06/2014</v>
      </c>
      <c r="D167" s="64"/>
      <c r="E167" s="64"/>
      <c r="F167" s="64"/>
      <c r="G167" s="17" t="str">
        <f>VLOOKUP(B167,IF(A167="COMPOSICAO",S!$A:$D,I!$A:$D),3,FALSE)</f>
        <v>H</v>
      </c>
      <c r="H167" s="18">
        <v>1</v>
      </c>
      <c r="I167" s="18">
        <f>IF(A167="COMPOSICAO",VLOOKUP("TOTAL - "&amp;B167,COMPOSICAO_AUX_3!$A:$J,10,FALSE),VLOOKUP(B167,I!$A:$D,4,FALSE))</f>
        <v>11.71</v>
      </c>
      <c r="J167" s="67">
        <f t="shared" si="7"/>
        <v>11.71</v>
      </c>
      <c r="K167" s="68"/>
    </row>
    <row r="168" spans="1:13" ht="75" customHeight="1" x14ac:dyDescent="0.3">
      <c r="A168" s="17" t="s">
        <v>71</v>
      </c>
      <c r="B168" s="19">
        <v>89260</v>
      </c>
      <c r="C168" s="64" t="str">
        <f>VLOOKUP(B168,IF(A168="COMPOSICAO",S!$A:$D,I!$A:$D),2,FALSE)</f>
        <v>GUINDAUTO HIDRÁULICO, CAPACIDADE MÁXIMA DE CARGA 6200 KG, MOMENTO MÁXIMO DE CARGA 11,7 TM, ALCANCE MÁXIMO HORIZONTAL 9,70 M, INCLUSIVE CAMINHÃO TOCO PBT 16.000 KG, POTÊNCIA DE 189 CV - JUROS. AF_06/2014</v>
      </c>
      <c r="D168" s="64"/>
      <c r="E168" s="64"/>
      <c r="F168" s="64"/>
      <c r="G168" s="17" t="str">
        <f>VLOOKUP(B168,IF(A168="COMPOSICAO",S!$A:$D,I!$A:$D),3,FALSE)</f>
        <v>H</v>
      </c>
      <c r="H168" s="18">
        <v>1</v>
      </c>
      <c r="I168" s="18">
        <f>IF(A168="COMPOSICAO",VLOOKUP("TOTAL - "&amp;B168,COMPOSICAO_AUX_3!$A:$J,10,FALSE),VLOOKUP(B168,I!$A:$D,4,FALSE))</f>
        <v>2.4500000000000002</v>
      </c>
      <c r="J168" s="67">
        <f t="shared" si="7"/>
        <v>2.4500000000000002</v>
      </c>
      <c r="K168" s="68"/>
    </row>
    <row r="169" spans="1:13" ht="75" customHeight="1" x14ac:dyDescent="0.3">
      <c r="A169" s="17" t="s">
        <v>71</v>
      </c>
      <c r="B169" s="19">
        <v>89262</v>
      </c>
      <c r="C169" s="64" t="str">
        <f>VLOOKUP(B169,IF(A169="COMPOSICAO",S!$A:$D,I!$A:$D),2,FALSE)</f>
        <v>GUINDAUTO HIDRÁULICO, CAPACIDADE MÁXIMA DE CARGA 6200 KG, MOMENTO MÁXIMO DE CARGA 11,7 TM, ALCANCE MÁXIMO HORIZONTAL 9,70 M, INCLUSIVE CAMINHÃO TOCO PBT 16.000 KG, POTÊNCIA DE 189 CV - MANUTENÇÃO. AF_06/2014</v>
      </c>
      <c r="D169" s="64"/>
      <c r="E169" s="64"/>
      <c r="F169" s="64"/>
      <c r="G169" s="17" t="str">
        <f>VLOOKUP(B169,IF(A169="COMPOSICAO",S!$A:$D,I!$A:$D),3,FALSE)</f>
        <v>H</v>
      </c>
      <c r="H169" s="18">
        <v>1</v>
      </c>
      <c r="I169" s="18">
        <f>IF(A169="COMPOSICAO",VLOOKUP("TOTAL - "&amp;B169,COMPOSICAO_AUX_3!$A:$J,10,FALSE),VLOOKUP(B169,I!$A:$D,4,FALSE))</f>
        <v>21.96</v>
      </c>
      <c r="J169" s="67">
        <f t="shared" si="7"/>
        <v>21.96</v>
      </c>
      <c r="K169" s="68"/>
    </row>
    <row r="170" spans="1:13" ht="75" customHeight="1" x14ac:dyDescent="0.3">
      <c r="A170" s="17" t="s">
        <v>71</v>
      </c>
      <c r="B170" s="19">
        <v>91466</v>
      </c>
      <c r="C170" s="64" t="str">
        <f>VLOOKUP(B170,IF(A170="COMPOSICAO",S!$A:$D,I!$A:$D),2,FALSE)</f>
        <v>GUINDAUTO HIDRÁULICO, CAPACIDADE MÁXIMA DE CARGA 6200 KG, MOMENTO MÁXIMO DE CARGA 11,7 TM, ALCANCE MÁXIMO HORIZONTAL 9,70 M, INCLUSIVE CAMINHÃO TOCO PBT 16.000 KG, POTÊNCIA DE 189 CV - IMPOSTOS E SEGUROS. AF_08/2015</v>
      </c>
      <c r="D170" s="64"/>
      <c r="E170" s="64"/>
      <c r="F170" s="64"/>
      <c r="G170" s="17" t="str">
        <f>VLOOKUP(B170,IF(A170="COMPOSICAO",S!$A:$D,I!$A:$D),3,FALSE)</f>
        <v>H</v>
      </c>
      <c r="H170" s="18">
        <v>1</v>
      </c>
      <c r="I170" s="18">
        <f>IF(A170="COMPOSICAO",VLOOKUP("TOTAL - "&amp;B170,COMPOSICAO_AUX_3!$A:$J,10,FALSE),VLOOKUP(B170,I!$A:$D,4,FALSE))</f>
        <v>0.95</v>
      </c>
      <c r="J170" s="67">
        <f t="shared" si="7"/>
        <v>0.95</v>
      </c>
      <c r="K170" s="68"/>
    </row>
    <row r="171" spans="1:13" ht="90" customHeight="1" x14ac:dyDescent="0.3">
      <c r="A171" s="17" t="s">
        <v>71</v>
      </c>
      <c r="B171" s="19">
        <v>91467</v>
      </c>
      <c r="C171" s="64" t="str">
        <f>VLOOKUP(B171,IF(A171="COMPOSICAO",S!$A:$D,I!$A:$D),2,FALSE)</f>
        <v>GUINDAUTO HIDRÁULICO, CAPACIDADE MÁXIMA DE CARGA 6200 KG, MOMENTO MÁXIMO DE CARGA 11,7 TM, ALCANCE MÁXIMO HORIZONTAL 9,70 M, INCLUSIVE CAMINHÃO TOCO PBT 16.000 KG, POTÊNCIA DE 189 CV - MATERIAIS NA OPERAÇÃO. AF_08/2015</v>
      </c>
      <c r="D171" s="64"/>
      <c r="E171" s="64"/>
      <c r="F171" s="64"/>
      <c r="G171" s="17" t="str">
        <f>VLOOKUP(B171,IF(A171="COMPOSICAO",S!$A:$D,I!$A:$D),3,FALSE)</f>
        <v>H</v>
      </c>
      <c r="H171" s="18">
        <v>1</v>
      </c>
      <c r="I171" s="18">
        <f>IF(A171="COMPOSICAO",VLOOKUP("TOTAL - "&amp;B171,COMPOSICAO_AUX_3!$A:$J,10,FALSE),VLOOKUP(B171,I!$A:$D,4,FALSE))</f>
        <v>108.09</v>
      </c>
      <c r="J171" s="67">
        <f t="shared" si="7"/>
        <v>108.09</v>
      </c>
      <c r="K171" s="68"/>
    </row>
    <row r="172" spans="1:13" ht="15" customHeight="1" x14ac:dyDescent="0.3">
      <c r="A172" s="22" t="s">
        <v>118</v>
      </c>
      <c r="B172" s="23"/>
      <c r="C172" s="23"/>
      <c r="D172" s="23"/>
      <c r="E172" s="23"/>
      <c r="F172" s="23"/>
      <c r="G172" s="24"/>
      <c r="H172" s="25"/>
      <c r="I172" s="26"/>
      <c r="J172" s="67">
        <f>SUM(J165:K171)</f>
        <v>169.63</v>
      </c>
      <c r="K172" s="68"/>
    </row>
    <row r="173" spans="1:13" ht="15" customHeight="1" x14ac:dyDescent="0.3">
      <c r="A173" s="3"/>
      <c r="B173" s="3"/>
      <c r="C173" s="3"/>
      <c r="D173" s="3"/>
      <c r="E173" s="3"/>
      <c r="F173" s="3"/>
      <c r="G173" s="3"/>
      <c r="H173" s="3"/>
      <c r="I173" s="3"/>
      <c r="J173" s="3"/>
      <c r="K173" s="3"/>
    </row>
    <row r="174" spans="1:13" ht="15" customHeight="1" x14ac:dyDescent="0.3">
      <c r="A174" s="10" t="s">
        <v>63</v>
      </c>
      <c r="B174" s="10" t="s">
        <v>24</v>
      </c>
      <c r="C174" s="75" t="s">
        <v>8</v>
      </c>
      <c r="D174" s="76"/>
      <c r="E174" s="76"/>
      <c r="F174" s="76"/>
      <c r="G174" s="6" t="s">
        <v>25</v>
      </c>
      <c r="H174" s="6" t="s">
        <v>64</v>
      </c>
      <c r="I174" s="6" t="s">
        <v>65</v>
      </c>
      <c r="J174" s="62" t="s">
        <v>10</v>
      </c>
      <c r="K174" s="63"/>
    </row>
    <row r="175" spans="1:13" ht="30" customHeight="1" x14ac:dyDescent="0.3">
      <c r="A175" s="6" t="s">
        <v>87</v>
      </c>
      <c r="B175" s="27">
        <v>88247</v>
      </c>
      <c r="C175" s="84" t="str">
        <f>VLOOKUP(B175,S!$A:$D,2,FALSE)</f>
        <v>AUXILIAR DE ELETRICISTA COM ENCARGOS COMPLEMENTARES</v>
      </c>
      <c r="D175" s="84"/>
      <c r="E175" s="84"/>
      <c r="F175" s="85"/>
      <c r="G175" s="6" t="str">
        <f>VLOOKUP(B175,S!$A:$D,3,FALSE)</f>
        <v>H</v>
      </c>
      <c r="H175" s="20"/>
      <c r="I175" s="20">
        <f>J184</f>
        <v>15.469999999999999</v>
      </c>
      <c r="J175" s="70"/>
      <c r="K175" s="71"/>
      <c r="L175" s="20">
        <f>VLOOKUP(B175,S!$A:$D,4,FALSE)</f>
        <v>15.47</v>
      </c>
      <c r="M175" s="6" t="str">
        <f>IF(ROUND((L175-I175),2)=0,"OK, confere com a tabela.",IF(ROUND((L175-I175),2)&lt;0,"ACIMA ("&amp;TEXT(ROUND(I175*100/L175,4),"0,0000")&amp;" %) da tabela.","ABAIXO ("&amp;TEXT(ROUND(I175*100/L175,4),"0,0000")&amp;" %) da tabela."))</f>
        <v>OK, confere com a tabela.</v>
      </c>
    </row>
    <row r="176" spans="1:13" ht="15" customHeight="1" x14ac:dyDescent="0.3">
      <c r="A176" s="17" t="s">
        <v>70</v>
      </c>
      <c r="B176" s="19">
        <v>247</v>
      </c>
      <c r="C176" s="64" t="str">
        <f>VLOOKUP(B176,IF(A176="COMPOSICAO",S!$A:$D,I!$A:$D),2,FALSE)</f>
        <v>AJUDANTE DE ELETRICISTA</v>
      </c>
      <c r="D176" s="64"/>
      <c r="E176" s="64"/>
      <c r="F176" s="64"/>
      <c r="G176" s="17" t="str">
        <f>VLOOKUP(B176,IF(A176="COMPOSICAO",S!$A:$D,I!$A:$D),3,FALSE)</f>
        <v>H</v>
      </c>
      <c r="H176" s="18">
        <v>1</v>
      </c>
      <c r="I176" s="18">
        <f>IF(A176="COMPOSICAO",VLOOKUP("TOTAL - "&amp;B176,COMPOSICAO_AUX_3!$A:$J,10,FALSE),VLOOKUP(B176,I!$A:$D,4,FALSE))</f>
        <v>10.5</v>
      </c>
      <c r="J176" s="67">
        <f t="shared" ref="J176:J183" si="8">TRUNC(H176*I176,2)</f>
        <v>10.5</v>
      </c>
      <c r="K176" s="68"/>
    </row>
    <row r="177" spans="1:13" ht="15" customHeight="1" x14ac:dyDescent="0.3">
      <c r="A177" s="17" t="s">
        <v>70</v>
      </c>
      <c r="B177" s="19">
        <v>37370</v>
      </c>
      <c r="C177" s="64" t="str">
        <f>VLOOKUP(B177,IF(A177="COMPOSICAO",S!$A:$D,I!$A:$D),2,FALSE)</f>
        <v>ALIMENTACAO - HORISTA (COLETADO CAIXA)</v>
      </c>
      <c r="D177" s="64"/>
      <c r="E177" s="64"/>
      <c r="F177" s="64"/>
      <c r="G177" s="17" t="str">
        <f>VLOOKUP(B177,IF(A177="COMPOSICAO",S!$A:$D,I!$A:$D),3,FALSE)</f>
        <v>H</v>
      </c>
      <c r="H177" s="18">
        <v>1</v>
      </c>
      <c r="I177" s="18">
        <f>IF(A177="COMPOSICAO",VLOOKUP("TOTAL - "&amp;B177,COMPOSICAO_AUX_3!$A:$J,10,FALSE),VLOOKUP(B177,I!$A:$D,4,FALSE))</f>
        <v>1.86</v>
      </c>
      <c r="J177" s="67">
        <f t="shared" si="8"/>
        <v>1.86</v>
      </c>
      <c r="K177" s="68"/>
    </row>
    <row r="178" spans="1:13" ht="15" customHeight="1" x14ac:dyDescent="0.3">
      <c r="A178" s="17" t="s">
        <v>70</v>
      </c>
      <c r="B178" s="19">
        <v>37371</v>
      </c>
      <c r="C178" s="64" t="str">
        <f>VLOOKUP(B178,IF(A178="COMPOSICAO",S!$A:$D,I!$A:$D),2,FALSE)</f>
        <v>TRANSPORTE - HORISTA (COLETADO CAIXA)</v>
      </c>
      <c r="D178" s="64"/>
      <c r="E178" s="64"/>
      <c r="F178" s="64"/>
      <c r="G178" s="17" t="str">
        <f>VLOOKUP(B178,IF(A178="COMPOSICAO",S!$A:$D,I!$A:$D),3,FALSE)</f>
        <v>H</v>
      </c>
      <c r="H178" s="18">
        <v>1</v>
      </c>
      <c r="I178" s="18">
        <f>IF(A178="COMPOSICAO",VLOOKUP("TOTAL - "&amp;B178,COMPOSICAO_AUX_3!$A:$J,10,FALSE),VLOOKUP(B178,I!$A:$D,4,FALSE))</f>
        <v>0.7</v>
      </c>
      <c r="J178" s="67">
        <f t="shared" si="8"/>
        <v>0.7</v>
      </c>
      <c r="K178" s="68"/>
    </row>
    <row r="179" spans="1:13" ht="15" customHeight="1" x14ac:dyDescent="0.3">
      <c r="A179" s="17" t="s">
        <v>70</v>
      </c>
      <c r="B179" s="19">
        <v>37372</v>
      </c>
      <c r="C179" s="64" t="str">
        <f>VLOOKUP(B179,IF(A179="COMPOSICAO",S!$A:$D,I!$A:$D),2,FALSE)</f>
        <v>EXAMES - HORISTA (COLETADO CAIXA)</v>
      </c>
      <c r="D179" s="64"/>
      <c r="E179" s="64"/>
      <c r="F179" s="64"/>
      <c r="G179" s="17" t="str">
        <f>VLOOKUP(B179,IF(A179="COMPOSICAO",S!$A:$D,I!$A:$D),3,FALSE)</f>
        <v>H</v>
      </c>
      <c r="H179" s="18">
        <v>1</v>
      </c>
      <c r="I179" s="18">
        <f>IF(A179="COMPOSICAO",VLOOKUP("TOTAL - "&amp;B179,COMPOSICAO_AUX_3!$A:$J,10,FALSE),VLOOKUP(B179,I!$A:$D,4,FALSE))</f>
        <v>0.55000000000000004</v>
      </c>
      <c r="J179" s="67">
        <f t="shared" si="8"/>
        <v>0.55000000000000004</v>
      </c>
      <c r="K179" s="68"/>
    </row>
    <row r="180" spans="1:13" ht="15" customHeight="1" x14ac:dyDescent="0.3">
      <c r="A180" s="17" t="s">
        <v>70</v>
      </c>
      <c r="B180" s="19">
        <v>37373</v>
      </c>
      <c r="C180" s="64" t="str">
        <f>VLOOKUP(B180,IF(A180="COMPOSICAO",S!$A:$D,I!$A:$D),2,FALSE)</f>
        <v>SEGURO - HORISTA (COLETADO CAIXA)</v>
      </c>
      <c r="D180" s="64"/>
      <c r="E180" s="64"/>
      <c r="F180" s="64"/>
      <c r="G180" s="17" t="str">
        <f>VLOOKUP(B180,IF(A180="COMPOSICAO",S!$A:$D,I!$A:$D),3,FALSE)</f>
        <v>H</v>
      </c>
      <c r="H180" s="18">
        <v>1</v>
      </c>
      <c r="I180" s="18">
        <f>IF(A180="COMPOSICAO",VLOOKUP("TOTAL - "&amp;B180,COMPOSICAO_AUX_3!$A:$J,10,FALSE),VLOOKUP(B180,I!$A:$D,4,FALSE))</f>
        <v>0.06</v>
      </c>
      <c r="J180" s="67">
        <f t="shared" si="8"/>
        <v>0.06</v>
      </c>
      <c r="K180" s="68"/>
    </row>
    <row r="181" spans="1:13" ht="30" customHeight="1" x14ac:dyDescent="0.3">
      <c r="A181" s="17" t="s">
        <v>70</v>
      </c>
      <c r="B181" s="19">
        <v>43460</v>
      </c>
      <c r="C181" s="64" t="str">
        <f>VLOOKUP(B181,IF(A181="COMPOSICAO",S!$A:$D,I!$A:$D),2,FALSE)</f>
        <v>FERRAMENTAS - FAMILIA ELETRICISTA - HORISTA (ENCARGOS COMPLEMENTARES - COLETADO CAIXA)</v>
      </c>
      <c r="D181" s="64"/>
      <c r="E181" s="64"/>
      <c r="F181" s="64"/>
      <c r="G181" s="17" t="str">
        <f>VLOOKUP(B181,IF(A181="COMPOSICAO",S!$A:$D,I!$A:$D),3,FALSE)</f>
        <v>H</v>
      </c>
      <c r="H181" s="18">
        <v>1</v>
      </c>
      <c r="I181" s="18">
        <f>IF(A181="COMPOSICAO",VLOOKUP("TOTAL - "&amp;B181,COMPOSICAO_AUX_3!$A:$J,10,FALSE),VLOOKUP(B181,I!$A:$D,4,FALSE))</f>
        <v>0.62</v>
      </c>
      <c r="J181" s="67">
        <f t="shared" si="8"/>
        <v>0.62</v>
      </c>
      <c r="K181" s="68"/>
    </row>
    <row r="182" spans="1:13" ht="30" customHeight="1" x14ac:dyDescent="0.3">
      <c r="A182" s="17" t="s">
        <v>70</v>
      </c>
      <c r="B182" s="19">
        <v>43484</v>
      </c>
      <c r="C182" s="64" t="str">
        <f>VLOOKUP(B182,IF(A182="COMPOSICAO",S!$A:$D,I!$A:$D),2,FALSE)</f>
        <v>EPI - FAMILIA ELETRICISTA - HORISTA (ENCARGOS COMPLEMENTARES - COLETADO CAIXA)</v>
      </c>
      <c r="D182" s="64"/>
      <c r="E182" s="64"/>
      <c r="F182" s="64"/>
      <c r="G182" s="17" t="str">
        <f>VLOOKUP(B182,IF(A182="COMPOSICAO",S!$A:$D,I!$A:$D),3,FALSE)</f>
        <v>H</v>
      </c>
      <c r="H182" s="18">
        <v>1</v>
      </c>
      <c r="I182" s="18">
        <f>IF(A182="COMPOSICAO",VLOOKUP("TOTAL - "&amp;B182,COMPOSICAO_AUX_3!$A:$J,10,FALSE),VLOOKUP(B182,I!$A:$D,4,FALSE))</f>
        <v>0.91</v>
      </c>
      <c r="J182" s="67">
        <f t="shared" si="8"/>
        <v>0.91</v>
      </c>
      <c r="K182" s="68"/>
    </row>
    <row r="183" spans="1:13" ht="30" customHeight="1" x14ac:dyDescent="0.3">
      <c r="A183" s="17" t="s">
        <v>71</v>
      </c>
      <c r="B183" s="19">
        <v>95316</v>
      </c>
      <c r="C183" s="64" t="str">
        <f>VLOOKUP(B183,IF(A183="COMPOSICAO",S!$A:$D,I!$A:$D),2,FALSE)</f>
        <v>CURSO DE CAPACITAÇÃO PARA AUXILIAR DE ELETRICISTA (ENCARGOS COMPLEMENTARES) - HORISTA</v>
      </c>
      <c r="D183" s="64"/>
      <c r="E183" s="64"/>
      <c r="F183" s="64"/>
      <c r="G183" s="17" t="str">
        <f>VLOOKUP(B183,IF(A183="COMPOSICAO",S!$A:$D,I!$A:$D),3,FALSE)</f>
        <v>H</v>
      </c>
      <c r="H183" s="18">
        <v>1</v>
      </c>
      <c r="I183" s="18">
        <f>IF(A183="COMPOSICAO",VLOOKUP("TOTAL - "&amp;B183,COMPOSICAO_AUX_3!$A:$J,10,FALSE),VLOOKUP(B183,I!$A:$D,4,FALSE))</f>
        <v>0.27</v>
      </c>
      <c r="J183" s="67">
        <f t="shared" si="8"/>
        <v>0.27</v>
      </c>
      <c r="K183" s="68"/>
    </row>
    <row r="184" spans="1:13" ht="15" customHeight="1" x14ac:dyDescent="0.3">
      <c r="A184" s="22" t="s">
        <v>88</v>
      </c>
      <c r="B184" s="23"/>
      <c r="C184" s="23"/>
      <c r="D184" s="23"/>
      <c r="E184" s="23"/>
      <c r="F184" s="23"/>
      <c r="G184" s="24"/>
      <c r="H184" s="25"/>
      <c r="I184" s="26"/>
      <c r="J184" s="67">
        <f>SUM(J175:K183)</f>
        <v>15.469999999999999</v>
      </c>
      <c r="K184" s="68"/>
    </row>
    <row r="185" spans="1:13" ht="15" customHeight="1" x14ac:dyDescent="0.3">
      <c r="A185" s="3"/>
      <c r="B185" s="3"/>
      <c r="C185" s="3"/>
      <c r="D185" s="3"/>
      <c r="E185" s="3"/>
      <c r="F185" s="3"/>
      <c r="G185" s="3"/>
      <c r="H185" s="3"/>
      <c r="I185" s="3"/>
      <c r="J185" s="3"/>
      <c r="K185" s="3"/>
    </row>
    <row r="186" spans="1:13" ht="15" customHeight="1" x14ac:dyDescent="0.3">
      <c r="A186" s="10" t="s">
        <v>63</v>
      </c>
      <c r="B186" s="10" t="s">
        <v>24</v>
      </c>
      <c r="C186" s="75" t="s">
        <v>8</v>
      </c>
      <c r="D186" s="76"/>
      <c r="E186" s="76"/>
      <c r="F186" s="76"/>
      <c r="G186" s="6" t="s">
        <v>25</v>
      </c>
      <c r="H186" s="6" t="s">
        <v>64</v>
      </c>
      <c r="I186" s="6" t="s">
        <v>65</v>
      </c>
      <c r="J186" s="62" t="s">
        <v>10</v>
      </c>
      <c r="K186" s="63"/>
    </row>
    <row r="187" spans="1:13" ht="15" customHeight="1" x14ac:dyDescent="0.3">
      <c r="A187" s="6" t="s">
        <v>87</v>
      </c>
      <c r="B187" s="27">
        <v>88264</v>
      </c>
      <c r="C187" s="84" t="str">
        <f>VLOOKUP(B187,S!$A:$D,2,FALSE)</f>
        <v>ELETRICISTA COM ENCARGOS COMPLEMENTARES</v>
      </c>
      <c r="D187" s="84"/>
      <c r="E187" s="84"/>
      <c r="F187" s="85"/>
      <c r="G187" s="6" t="str">
        <f>VLOOKUP(B187,S!$A:$D,3,FALSE)</f>
        <v>H</v>
      </c>
      <c r="H187" s="20"/>
      <c r="I187" s="20">
        <f>J196</f>
        <v>20.02</v>
      </c>
      <c r="J187" s="70"/>
      <c r="K187" s="71"/>
      <c r="L187" s="20">
        <f>VLOOKUP(B187,S!$A:$D,4,FALSE)</f>
        <v>20.02</v>
      </c>
      <c r="M187" s="6" t="str">
        <f>IF(ROUND((L187-I187),2)=0,"OK, confere com a tabela.",IF(ROUND((L187-I187),2)&lt;0,"ACIMA ("&amp;TEXT(ROUND(I187*100/L187,4),"0,0000")&amp;" %) da tabela.","ABAIXO ("&amp;TEXT(ROUND(I187*100/L187,4),"0,0000")&amp;" %) da tabela."))</f>
        <v>OK, confere com a tabela.</v>
      </c>
    </row>
    <row r="188" spans="1:13" ht="15" customHeight="1" x14ac:dyDescent="0.3">
      <c r="A188" s="17" t="s">
        <v>70</v>
      </c>
      <c r="B188" s="19">
        <v>2436</v>
      </c>
      <c r="C188" s="64" t="str">
        <f>VLOOKUP(B188,IF(A188="COMPOSICAO",S!$A:$D,I!$A:$D),2,FALSE)</f>
        <v>ELETRICISTA</v>
      </c>
      <c r="D188" s="64"/>
      <c r="E188" s="64"/>
      <c r="F188" s="64"/>
      <c r="G188" s="17" t="str">
        <f>VLOOKUP(B188,IF(A188="COMPOSICAO",S!$A:$D,I!$A:$D),3,FALSE)</f>
        <v>H</v>
      </c>
      <c r="H188" s="18">
        <v>1</v>
      </c>
      <c r="I188" s="18">
        <f>IF(A188="COMPOSICAO",VLOOKUP("TOTAL - "&amp;B188,COMPOSICAO_AUX_3!$A:$J,10,FALSE),VLOOKUP(B188,I!$A:$D,4,FALSE))</f>
        <v>14.93</v>
      </c>
      <c r="J188" s="67">
        <f t="shared" ref="J188:J195" si="9">TRUNC(H188*I188,2)</f>
        <v>14.93</v>
      </c>
      <c r="K188" s="68"/>
    </row>
    <row r="189" spans="1:13" ht="15" customHeight="1" x14ac:dyDescent="0.3">
      <c r="A189" s="17" t="s">
        <v>70</v>
      </c>
      <c r="B189" s="19">
        <v>37370</v>
      </c>
      <c r="C189" s="64" t="str">
        <f>VLOOKUP(B189,IF(A189="COMPOSICAO",S!$A:$D,I!$A:$D),2,FALSE)</f>
        <v>ALIMENTACAO - HORISTA (COLETADO CAIXA)</v>
      </c>
      <c r="D189" s="64"/>
      <c r="E189" s="64"/>
      <c r="F189" s="64"/>
      <c r="G189" s="17" t="str">
        <f>VLOOKUP(B189,IF(A189="COMPOSICAO",S!$A:$D,I!$A:$D),3,FALSE)</f>
        <v>H</v>
      </c>
      <c r="H189" s="18">
        <v>1</v>
      </c>
      <c r="I189" s="18">
        <f>IF(A189="COMPOSICAO",VLOOKUP("TOTAL - "&amp;B189,COMPOSICAO_AUX_3!$A:$J,10,FALSE),VLOOKUP(B189,I!$A:$D,4,FALSE))</f>
        <v>1.86</v>
      </c>
      <c r="J189" s="67">
        <f t="shared" si="9"/>
        <v>1.86</v>
      </c>
      <c r="K189" s="68"/>
    </row>
    <row r="190" spans="1:13" ht="15" customHeight="1" x14ac:dyDescent="0.3">
      <c r="A190" s="17" t="s">
        <v>70</v>
      </c>
      <c r="B190" s="19">
        <v>37371</v>
      </c>
      <c r="C190" s="64" t="str">
        <f>VLOOKUP(B190,IF(A190="COMPOSICAO",S!$A:$D,I!$A:$D),2,FALSE)</f>
        <v>TRANSPORTE - HORISTA (COLETADO CAIXA)</v>
      </c>
      <c r="D190" s="64"/>
      <c r="E190" s="64"/>
      <c r="F190" s="64"/>
      <c r="G190" s="17" t="str">
        <f>VLOOKUP(B190,IF(A190="COMPOSICAO",S!$A:$D,I!$A:$D),3,FALSE)</f>
        <v>H</v>
      </c>
      <c r="H190" s="18">
        <v>1</v>
      </c>
      <c r="I190" s="18">
        <f>IF(A190="COMPOSICAO",VLOOKUP("TOTAL - "&amp;B190,COMPOSICAO_AUX_3!$A:$J,10,FALSE),VLOOKUP(B190,I!$A:$D,4,FALSE))</f>
        <v>0.7</v>
      </c>
      <c r="J190" s="67">
        <f t="shared" si="9"/>
        <v>0.7</v>
      </c>
      <c r="K190" s="68"/>
    </row>
    <row r="191" spans="1:13" ht="15" customHeight="1" x14ac:dyDescent="0.3">
      <c r="A191" s="17" t="s">
        <v>70</v>
      </c>
      <c r="B191" s="19">
        <v>37372</v>
      </c>
      <c r="C191" s="64" t="str">
        <f>VLOOKUP(B191,IF(A191="COMPOSICAO",S!$A:$D,I!$A:$D),2,FALSE)</f>
        <v>EXAMES - HORISTA (COLETADO CAIXA)</v>
      </c>
      <c r="D191" s="64"/>
      <c r="E191" s="64"/>
      <c r="F191" s="64"/>
      <c r="G191" s="17" t="str">
        <f>VLOOKUP(B191,IF(A191="COMPOSICAO",S!$A:$D,I!$A:$D),3,FALSE)</f>
        <v>H</v>
      </c>
      <c r="H191" s="18">
        <v>1</v>
      </c>
      <c r="I191" s="18">
        <f>IF(A191="COMPOSICAO",VLOOKUP("TOTAL - "&amp;B191,COMPOSICAO_AUX_3!$A:$J,10,FALSE),VLOOKUP(B191,I!$A:$D,4,FALSE))</f>
        <v>0.55000000000000004</v>
      </c>
      <c r="J191" s="67">
        <f t="shared" si="9"/>
        <v>0.55000000000000004</v>
      </c>
      <c r="K191" s="68"/>
    </row>
    <row r="192" spans="1:13" ht="15" customHeight="1" x14ac:dyDescent="0.3">
      <c r="A192" s="17" t="s">
        <v>70</v>
      </c>
      <c r="B192" s="19">
        <v>37373</v>
      </c>
      <c r="C192" s="64" t="str">
        <f>VLOOKUP(B192,IF(A192="COMPOSICAO",S!$A:$D,I!$A:$D),2,FALSE)</f>
        <v>SEGURO - HORISTA (COLETADO CAIXA)</v>
      </c>
      <c r="D192" s="64"/>
      <c r="E192" s="64"/>
      <c r="F192" s="64"/>
      <c r="G192" s="17" t="str">
        <f>VLOOKUP(B192,IF(A192="COMPOSICAO",S!$A:$D,I!$A:$D),3,FALSE)</f>
        <v>H</v>
      </c>
      <c r="H192" s="18">
        <v>1</v>
      </c>
      <c r="I192" s="18">
        <f>IF(A192="COMPOSICAO",VLOOKUP("TOTAL - "&amp;B192,COMPOSICAO_AUX_3!$A:$J,10,FALSE),VLOOKUP(B192,I!$A:$D,4,FALSE))</f>
        <v>0.06</v>
      </c>
      <c r="J192" s="67">
        <f t="shared" si="9"/>
        <v>0.06</v>
      </c>
      <c r="K192" s="68"/>
    </row>
    <row r="193" spans="1:11" ht="30" customHeight="1" x14ac:dyDescent="0.3">
      <c r="A193" s="17" t="s">
        <v>70</v>
      </c>
      <c r="B193" s="19">
        <v>43460</v>
      </c>
      <c r="C193" s="64" t="str">
        <f>VLOOKUP(B193,IF(A193="COMPOSICAO",S!$A:$D,I!$A:$D),2,FALSE)</f>
        <v>FERRAMENTAS - FAMILIA ELETRICISTA - HORISTA (ENCARGOS COMPLEMENTARES - COLETADO CAIXA)</v>
      </c>
      <c r="D193" s="64"/>
      <c r="E193" s="64"/>
      <c r="F193" s="64"/>
      <c r="G193" s="17" t="str">
        <f>VLOOKUP(B193,IF(A193="COMPOSICAO",S!$A:$D,I!$A:$D),3,FALSE)</f>
        <v>H</v>
      </c>
      <c r="H193" s="18">
        <v>1</v>
      </c>
      <c r="I193" s="18">
        <f>IF(A193="COMPOSICAO",VLOOKUP("TOTAL - "&amp;B193,COMPOSICAO_AUX_3!$A:$J,10,FALSE),VLOOKUP(B193,I!$A:$D,4,FALSE))</f>
        <v>0.62</v>
      </c>
      <c r="J193" s="67">
        <f t="shared" si="9"/>
        <v>0.62</v>
      </c>
      <c r="K193" s="68"/>
    </row>
    <row r="194" spans="1:11" ht="30" customHeight="1" x14ac:dyDescent="0.3">
      <c r="A194" s="17" t="s">
        <v>70</v>
      </c>
      <c r="B194" s="19">
        <v>43484</v>
      </c>
      <c r="C194" s="64" t="str">
        <f>VLOOKUP(B194,IF(A194="COMPOSICAO",S!$A:$D,I!$A:$D),2,FALSE)</f>
        <v>EPI - FAMILIA ELETRICISTA - HORISTA (ENCARGOS COMPLEMENTARES - COLETADO CAIXA)</v>
      </c>
      <c r="D194" s="64"/>
      <c r="E194" s="64"/>
      <c r="F194" s="64"/>
      <c r="G194" s="17" t="str">
        <f>VLOOKUP(B194,IF(A194="COMPOSICAO",S!$A:$D,I!$A:$D),3,FALSE)</f>
        <v>H</v>
      </c>
      <c r="H194" s="18">
        <v>1</v>
      </c>
      <c r="I194" s="18">
        <f>IF(A194="COMPOSICAO",VLOOKUP("TOTAL - "&amp;B194,COMPOSICAO_AUX_3!$A:$J,10,FALSE),VLOOKUP(B194,I!$A:$D,4,FALSE))</f>
        <v>0.91</v>
      </c>
      <c r="J194" s="67">
        <f t="shared" si="9"/>
        <v>0.91</v>
      </c>
      <c r="K194" s="68"/>
    </row>
    <row r="195" spans="1:11" ht="30" customHeight="1" x14ac:dyDescent="0.3">
      <c r="A195" s="17" t="s">
        <v>71</v>
      </c>
      <c r="B195" s="19">
        <v>95332</v>
      </c>
      <c r="C195" s="64" t="str">
        <f>VLOOKUP(B195,IF(A195="COMPOSICAO",S!$A:$D,I!$A:$D),2,FALSE)</f>
        <v>CURSO DE CAPACITAÇÃO PARA ELETRICISTA (ENCARGOS COMPLEMENTARES) - HORISTA</v>
      </c>
      <c r="D195" s="64"/>
      <c r="E195" s="64"/>
      <c r="F195" s="64"/>
      <c r="G195" s="17" t="str">
        <f>VLOOKUP(B195,IF(A195="COMPOSICAO",S!$A:$D,I!$A:$D),3,FALSE)</f>
        <v>H</v>
      </c>
      <c r="H195" s="18">
        <v>1</v>
      </c>
      <c r="I195" s="18">
        <f>IF(A195="COMPOSICAO",VLOOKUP("TOTAL - "&amp;B195,COMPOSICAO_AUX_3!$A:$J,10,FALSE),VLOOKUP(B195,I!$A:$D,4,FALSE))</f>
        <v>0.39</v>
      </c>
      <c r="J195" s="67">
        <f t="shared" si="9"/>
        <v>0.39</v>
      </c>
      <c r="K195" s="68"/>
    </row>
    <row r="196" spans="1:11" ht="15" customHeight="1" x14ac:dyDescent="0.3">
      <c r="A196" s="22" t="s">
        <v>89</v>
      </c>
      <c r="B196" s="23"/>
      <c r="C196" s="23"/>
      <c r="D196" s="23"/>
      <c r="E196" s="23"/>
      <c r="F196" s="23"/>
      <c r="G196" s="24"/>
      <c r="H196" s="25"/>
      <c r="I196" s="26"/>
      <c r="J196" s="67">
        <f>SUM(J187:K195)</f>
        <v>20.02</v>
      </c>
      <c r="K196" s="68"/>
    </row>
    <row r="197" spans="1:11" ht="15" customHeight="1" x14ac:dyDescent="0.3">
      <c r="A197" s="3"/>
      <c r="B197" s="3"/>
      <c r="C197" s="3"/>
      <c r="D197" s="3"/>
      <c r="E197" s="3"/>
      <c r="F197" s="3"/>
      <c r="G197" s="3"/>
      <c r="H197" s="3"/>
      <c r="I197" s="3"/>
      <c r="J197" s="3"/>
      <c r="K197" s="3"/>
    </row>
  </sheetData>
  <sheetProtection formatCells="0" formatColumns="0" formatRows="0" insertColumns="0" insertRows="0" insertHyperlinks="0" deleteColumns="0" deleteRows="0" sort="0" autoFilter="0" pivotTables="0"/>
  <mergeCells count="324">
    <mergeCell ref="A1:K1"/>
    <mergeCell ref="A2:K2"/>
    <mergeCell ref="A3:K3"/>
    <mergeCell ref="C6:F6"/>
    <mergeCell ref="J6:K6"/>
    <mergeCell ref="C7:F7"/>
    <mergeCell ref="J7:K7"/>
    <mergeCell ref="C13:F13"/>
    <mergeCell ref="J13:K13"/>
    <mergeCell ref="J14:K14"/>
    <mergeCell ref="C16:F16"/>
    <mergeCell ref="J16:K16"/>
    <mergeCell ref="C17:F17"/>
    <mergeCell ref="J17:K17"/>
    <mergeCell ref="C8:F8"/>
    <mergeCell ref="J8:K8"/>
    <mergeCell ref="J9:K9"/>
    <mergeCell ref="C11:F11"/>
    <mergeCell ref="J11:K11"/>
    <mergeCell ref="C12:F12"/>
    <mergeCell ref="J12:K12"/>
    <mergeCell ref="C23:F23"/>
    <mergeCell ref="J23:K23"/>
    <mergeCell ref="J24:K24"/>
    <mergeCell ref="C26:F26"/>
    <mergeCell ref="J26:K26"/>
    <mergeCell ref="C27:F27"/>
    <mergeCell ref="J27:K27"/>
    <mergeCell ref="C18:F18"/>
    <mergeCell ref="J18:K18"/>
    <mergeCell ref="J19:K19"/>
    <mergeCell ref="C21:F21"/>
    <mergeCell ref="J21:K21"/>
    <mergeCell ref="C22:F22"/>
    <mergeCell ref="J22:K22"/>
    <mergeCell ref="C31:F31"/>
    <mergeCell ref="J31:K31"/>
    <mergeCell ref="C32:F32"/>
    <mergeCell ref="J32:K32"/>
    <mergeCell ref="C33:F33"/>
    <mergeCell ref="J33:K33"/>
    <mergeCell ref="C28:F28"/>
    <mergeCell ref="J28:K28"/>
    <mergeCell ref="C29:F29"/>
    <mergeCell ref="J29:K29"/>
    <mergeCell ref="C30:F30"/>
    <mergeCell ref="J30:K30"/>
    <mergeCell ref="C39:F39"/>
    <mergeCell ref="J39:K39"/>
    <mergeCell ref="C40:F40"/>
    <mergeCell ref="J40:K40"/>
    <mergeCell ref="C41:F41"/>
    <mergeCell ref="J41:K41"/>
    <mergeCell ref="C34:F34"/>
    <mergeCell ref="J34:K34"/>
    <mergeCell ref="C35:F35"/>
    <mergeCell ref="J35:K35"/>
    <mergeCell ref="J36:K36"/>
    <mergeCell ref="C38:F38"/>
    <mergeCell ref="J38:K38"/>
    <mergeCell ref="C45:F45"/>
    <mergeCell ref="J45:K45"/>
    <mergeCell ref="C46:F46"/>
    <mergeCell ref="J46:K46"/>
    <mergeCell ref="C47:F47"/>
    <mergeCell ref="J47:K47"/>
    <mergeCell ref="C42:F42"/>
    <mergeCell ref="J42:K42"/>
    <mergeCell ref="C43:F43"/>
    <mergeCell ref="J43:K43"/>
    <mergeCell ref="C44:F44"/>
    <mergeCell ref="J44:K44"/>
    <mergeCell ref="C53:F53"/>
    <mergeCell ref="J53:K53"/>
    <mergeCell ref="C54:F54"/>
    <mergeCell ref="J54:K54"/>
    <mergeCell ref="C55:F55"/>
    <mergeCell ref="J55:K55"/>
    <mergeCell ref="J48:K48"/>
    <mergeCell ref="C50:F50"/>
    <mergeCell ref="J50:K50"/>
    <mergeCell ref="C51:F51"/>
    <mergeCell ref="J51:K51"/>
    <mergeCell ref="C52:F52"/>
    <mergeCell ref="J52:K52"/>
    <mergeCell ref="C59:F59"/>
    <mergeCell ref="J59:K59"/>
    <mergeCell ref="J60:K60"/>
    <mergeCell ref="C62:F62"/>
    <mergeCell ref="J62:K62"/>
    <mergeCell ref="C63:F63"/>
    <mergeCell ref="J63:K63"/>
    <mergeCell ref="C56:F56"/>
    <mergeCell ref="J56:K56"/>
    <mergeCell ref="C57:F57"/>
    <mergeCell ref="J57:K57"/>
    <mergeCell ref="C58:F58"/>
    <mergeCell ref="J58:K58"/>
    <mergeCell ref="C67:F67"/>
    <mergeCell ref="J67:K67"/>
    <mergeCell ref="C68:F68"/>
    <mergeCell ref="J68:K68"/>
    <mergeCell ref="C69:F69"/>
    <mergeCell ref="J69:K69"/>
    <mergeCell ref="C64:F64"/>
    <mergeCell ref="J64:K64"/>
    <mergeCell ref="C65:F65"/>
    <mergeCell ref="J65:K65"/>
    <mergeCell ref="C66:F66"/>
    <mergeCell ref="J66:K66"/>
    <mergeCell ref="C75:F75"/>
    <mergeCell ref="J75:K75"/>
    <mergeCell ref="C76:F76"/>
    <mergeCell ref="J76:K76"/>
    <mergeCell ref="C77:F77"/>
    <mergeCell ref="J77:K77"/>
    <mergeCell ref="C70:F70"/>
    <mergeCell ref="J70:K70"/>
    <mergeCell ref="C71:F71"/>
    <mergeCell ref="J71:K71"/>
    <mergeCell ref="J72:K72"/>
    <mergeCell ref="C74:F74"/>
    <mergeCell ref="J74:K74"/>
    <mergeCell ref="C83:F83"/>
    <mergeCell ref="J83:K83"/>
    <mergeCell ref="C84:F84"/>
    <mergeCell ref="J84:K84"/>
    <mergeCell ref="C85:F85"/>
    <mergeCell ref="J85:K85"/>
    <mergeCell ref="C78:F78"/>
    <mergeCell ref="J78:K78"/>
    <mergeCell ref="C79:F79"/>
    <mergeCell ref="J79:K79"/>
    <mergeCell ref="J80:K80"/>
    <mergeCell ref="C82:F82"/>
    <mergeCell ref="J82:K82"/>
    <mergeCell ref="C91:F91"/>
    <mergeCell ref="J91:K91"/>
    <mergeCell ref="C92:F92"/>
    <mergeCell ref="J92:K92"/>
    <mergeCell ref="C93:F93"/>
    <mergeCell ref="J93:K93"/>
    <mergeCell ref="J86:K86"/>
    <mergeCell ref="C88:F88"/>
    <mergeCell ref="J88:K88"/>
    <mergeCell ref="C89:F89"/>
    <mergeCell ref="J89:K89"/>
    <mergeCell ref="C90:F90"/>
    <mergeCell ref="J90:K90"/>
    <mergeCell ref="C99:F99"/>
    <mergeCell ref="J99:K99"/>
    <mergeCell ref="C100:F100"/>
    <mergeCell ref="J100:K100"/>
    <mergeCell ref="C101:F101"/>
    <mergeCell ref="J101:K101"/>
    <mergeCell ref="C94:F94"/>
    <mergeCell ref="J94:K94"/>
    <mergeCell ref="J95:K95"/>
    <mergeCell ref="C97:F97"/>
    <mergeCell ref="J97:K97"/>
    <mergeCell ref="C98:F98"/>
    <mergeCell ref="J98:K98"/>
    <mergeCell ref="C107:F107"/>
    <mergeCell ref="J107:K107"/>
    <mergeCell ref="C108:F108"/>
    <mergeCell ref="J108:K108"/>
    <mergeCell ref="C109:F109"/>
    <mergeCell ref="J109:K109"/>
    <mergeCell ref="J102:K102"/>
    <mergeCell ref="C104:F104"/>
    <mergeCell ref="J104:K104"/>
    <mergeCell ref="C105:F105"/>
    <mergeCell ref="J105:K105"/>
    <mergeCell ref="C106:F106"/>
    <mergeCell ref="J106:K106"/>
    <mergeCell ref="C115:F115"/>
    <mergeCell ref="J115:K115"/>
    <mergeCell ref="C116:F116"/>
    <mergeCell ref="J116:K116"/>
    <mergeCell ref="C117:F117"/>
    <mergeCell ref="J117:K117"/>
    <mergeCell ref="C110:F110"/>
    <mergeCell ref="J110:K110"/>
    <mergeCell ref="J111:K111"/>
    <mergeCell ref="C113:F113"/>
    <mergeCell ref="J113:K113"/>
    <mergeCell ref="C114:F114"/>
    <mergeCell ref="J114:K114"/>
    <mergeCell ref="C121:F121"/>
    <mergeCell ref="J121:K121"/>
    <mergeCell ref="J122:K122"/>
    <mergeCell ref="C124:F124"/>
    <mergeCell ref="J124:K124"/>
    <mergeCell ref="C125:F125"/>
    <mergeCell ref="J125:K125"/>
    <mergeCell ref="C118:F118"/>
    <mergeCell ref="J118:K118"/>
    <mergeCell ref="C119:F119"/>
    <mergeCell ref="J119:K119"/>
    <mergeCell ref="C120:F120"/>
    <mergeCell ref="J120:K120"/>
    <mergeCell ref="C129:F129"/>
    <mergeCell ref="J129:K129"/>
    <mergeCell ref="C130:F130"/>
    <mergeCell ref="J130:K130"/>
    <mergeCell ref="J131:K131"/>
    <mergeCell ref="C133:F133"/>
    <mergeCell ref="J133:K133"/>
    <mergeCell ref="C126:F126"/>
    <mergeCell ref="J126:K126"/>
    <mergeCell ref="C127:F127"/>
    <mergeCell ref="J127:K127"/>
    <mergeCell ref="C128:F128"/>
    <mergeCell ref="J128:K128"/>
    <mergeCell ref="C137:F137"/>
    <mergeCell ref="J137:K137"/>
    <mergeCell ref="J138:K138"/>
    <mergeCell ref="C140:F140"/>
    <mergeCell ref="J140:K140"/>
    <mergeCell ref="C141:F141"/>
    <mergeCell ref="J141:K141"/>
    <mergeCell ref="C134:F134"/>
    <mergeCell ref="J134:K134"/>
    <mergeCell ref="C135:F135"/>
    <mergeCell ref="J135:K135"/>
    <mergeCell ref="C136:F136"/>
    <mergeCell ref="J136:K136"/>
    <mergeCell ref="C145:F145"/>
    <mergeCell ref="J145:K145"/>
    <mergeCell ref="C146:F146"/>
    <mergeCell ref="J146:K146"/>
    <mergeCell ref="C147:F147"/>
    <mergeCell ref="J147:K147"/>
    <mergeCell ref="C142:F142"/>
    <mergeCell ref="J142:K142"/>
    <mergeCell ref="C143:F143"/>
    <mergeCell ref="J143:K143"/>
    <mergeCell ref="C144:F144"/>
    <mergeCell ref="J144:K144"/>
    <mergeCell ref="C153:F153"/>
    <mergeCell ref="J153:K153"/>
    <mergeCell ref="C154:F154"/>
    <mergeCell ref="J154:K154"/>
    <mergeCell ref="C155:F155"/>
    <mergeCell ref="J155:K155"/>
    <mergeCell ref="C148:F148"/>
    <mergeCell ref="J148:K148"/>
    <mergeCell ref="C149:F149"/>
    <mergeCell ref="J149:K149"/>
    <mergeCell ref="J150:K150"/>
    <mergeCell ref="C152:F152"/>
    <mergeCell ref="J152:K152"/>
    <mergeCell ref="C159:F159"/>
    <mergeCell ref="J159:K159"/>
    <mergeCell ref="C160:F160"/>
    <mergeCell ref="J160:K160"/>
    <mergeCell ref="C161:F161"/>
    <mergeCell ref="J161:K161"/>
    <mergeCell ref="C156:F156"/>
    <mergeCell ref="J156:K156"/>
    <mergeCell ref="C157:F157"/>
    <mergeCell ref="J157:K157"/>
    <mergeCell ref="C158:F158"/>
    <mergeCell ref="J158:K158"/>
    <mergeCell ref="C167:F167"/>
    <mergeCell ref="J167:K167"/>
    <mergeCell ref="C168:F168"/>
    <mergeCell ref="J168:K168"/>
    <mergeCell ref="C169:F169"/>
    <mergeCell ref="J169:K169"/>
    <mergeCell ref="J162:K162"/>
    <mergeCell ref="C164:F164"/>
    <mergeCell ref="J164:K164"/>
    <mergeCell ref="C165:F165"/>
    <mergeCell ref="J165:K165"/>
    <mergeCell ref="C166:F166"/>
    <mergeCell ref="J166:K166"/>
    <mergeCell ref="C175:F175"/>
    <mergeCell ref="J175:K175"/>
    <mergeCell ref="C176:F176"/>
    <mergeCell ref="J176:K176"/>
    <mergeCell ref="C177:F177"/>
    <mergeCell ref="J177:K177"/>
    <mergeCell ref="C170:F170"/>
    <mergeCell ref="J170:K170"/>
    <mergeCell ref="C171:F171"/>
    <mergeCell ref="J171:K171"/>
    <mergeCell ref="J172:K172"/>
    <mergeCell ref="C174:F174"/>
    <mergeCell ref="J174:K174"/>
    <mergeCell ref="C181:F181"/>
    <mergeCell ref="J181:K181"/>
    <mergeCell ref="C182:F182"/>
    <mergeCell ref="J182:K182"/>
    <mergeCell ref="C183:F183"/>
    <mergeCell ref="J183:K183"/>
    <mergeCell ref="C178:F178"/>
    <mergeCell ref="J178:K178"/>
    <mergeCell ref="C179:F179"/>
    <mergeCell ref="J179:K179"/>
    <mergeCell ref="C180:F180"/>
    <mergeCell ref="J180:K180"/>
    <mergeCell ref="C189:F189"/>
    <mergeCell ref="J189:K189"/>
    <mergeCell ref="C190:F190"/>
    <mergeCell ref="J190:K190"/>
    <mergeCell ref="C191:F191"/>
    <mergeCell ref="J191:K191"/>
    <mergeCell ref="J184:K184"/>
    <mergeCell ref="C186:F186"/>
    <mergeCell ref="J186:K186"/>
    <mergeCell ref="C187:F187"/>
    <mergeCell ref="J187:K187"/>
    <mergeCell ref="C188:F188"/>
    <mergeCell ref="J188:K188"/>
    <mergeCell ref="C195:F195"/>
    <mergeCell ref="J195:K195"/>
    <mergeCell ref="J196:K196"/>
    <mergeCell ref="C192:F192"/>
    <mergeCell ref="J192:K192"/>
    <mergeCell ref="C193:F193"/>
    <mergeCell ref="J193:K193"/>
    <mergeCell ref="C194:F194"/>
    <mergeCell ref="J194:K194"/>
  </mergeCells>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7"/>
  <sheetViews>
    <sheetView showGridLines="0" workbookViewId="0">
      <selection activeCell="I9" sqref="I9"/>
    </sheetView>
  </sheetViews>
  <sheetFormatPr defaultColWidth="9.109375" defaultRowHeight="15" customHeight="1" x14ac:dyDescent="0.3"/>
  <cols>
    <col min="1" max="1" width="14.6640625" style="1" customWidth="1"/>
    <col min="2" max="2" width="12.6640625" style="1" customWidth="1"/>
    <col min="3" max="3" width="4.6640625" style="1" customWidth="1"/>
    <col min="4" max="4" width="8.6640625" style="1" customWidth="1"/>
    <col min="5" max="5" width="25.6640625" style="1" customWidth="1"/>
    <col min="6" max="6" width="12.6640625" style="1" customWidth="1"/>
    <col min="7" max="7" width="8.6640625" style="1" customWidth="1"/>
    <col min="8" max="9" width="16.6640625" style="1" customWidth="1"/>
    <col min="10" max="11" width="8.6640625" style="1" customWidth="1"/>
    <col min="12" max="12" width="16.6640625" style="1" customWidth="1"/>
    <col min="13" max="13" width="27.5546875" style="1" customWidth="1"/>
    <col min="14" max="16384" width="9.109375" style="1"/>
  </cols>
  <sheetData>
    <row r="1" spans="1:13" ht="15" customHeight="1" x14ac:dyDescent="0.3">
      <c r="A1" s="54" t="str">
        <f>CIDADE</f>
        <v>MUNICÍPIO DE FLORESTA DO PIAUI - PI</v>
      </c>
      <c r="B1" s="54"/>
      <c r="C1" s="54"/>
      <c r="D1" s="54"/>
      <c r="E1" s="54"/>
      <c r="F1" s="54"/>
      <c r="G1" s="54"/>
      <c r="H1" s="54"/>
      <c r="I1" s="54"/>
      <c r="J1" s="54"/>
      <c r="K1" s="54"/>
    </row>
    <row r="2" spans="1:13" ht="15" customHeight="1" x14ac:dyDescent="0.3">
      <c r="A2" s="54" t="str">
        <f>OBRA</f>
        <v>INSTALAÇÕES ELÉTRICAS DE ILUMINAÇÃO DE PASSARELA DE  U E WILSON NUNES MARTINS FILHO</v>
      </c>
      <c r="B2" s="54"/>
      <c r="C2" s="54"/>
      <c r="D2" s="54"/>
      <c r="E2" s="54"/>
      <c r="F2" s="54"/>
      <c r="G2" s="54"/>
      <c r="H2" s="54"/>
      <c r="I2" s="54"/>
      <c r="J2" s="54"/>
      <c r="K2" s="54"/>
    </row>
    <row r="3" spans="1:13" ht="15" customHeight="1" x14ac:dyDescent="0.3">
      <c r="A3" s="54" t="s">
        <v>119</v>
      </c>
      <c r="B3" s="54"/>
      <c r="C3" s="54"/>
      <c r="D3" s="54"/>
      <c r="E3" s="54"/>
      <c r="F3" s="54"/>
      <c r="G3" s="54"/>
      <c r="H3" s="54"/>
      <c r="I3" s="54"/>
      <c r="J3" s="54"/>
      <c r="K3" s="54"/>
    </row>
    <row r="4" spans="1:13" ht="15" customHeight="1" x14ac:dyDescent="0.3">
      <c r="A4" s="3"/>
      <c r="B4" s="3"/>
      <c r="C4" s="3"/>
      <c r="D4" s="3"/>
      <c r="E4" s="3"/>
      <c r="F4" s="3"/>
      <c r="G4" s="3"/>
      <c r="H4" s="3"/>
      <c r="I4" s="3"/>
      <c r="J4" s="3"/>
      <c r="K4" s="3"/>
    </row>
    <row r="5" spans="1:13" ht="15" customHeight="1" x14ac:dyDescent="0.3">
      <c r="A5" s="2" t="s">
        <v>3</v>
      </c>
      <c r="B5" s="4" t="str">
        <f>FONTE&amp;ONERA</f>
        <v>SINAPI PI-02/2021, SEINFRA 27, ORSE-01/2021, SEM DESONERAÇÃO</v>
      </c>
      <c r="C5" s="2"/>
      <c r="D5" s="2"/>
      <c r="E5" s="2"/>
      <c r="G5" s="3"/>
      <c r="H5" s="2" t="s">
        <v>6</v>
      </c>
      <c r="I5" s="5">
        <f>LEI</f>
        <v>112.14999999999999</v>
      </c>
      <c r="J5" s="2" t="s">
        <v>7</v>
      </c>
      <c r="K5" s="5">
        <f>BDI</f>
        <v>21.25</v>
      </c>
    </row>
    <row r="6" spans="1:13" ht="15" customHeight="1" x14ac:dyDescent="0.3">
      <c r="A6" s="10" t="s">
        <v>63</v>
      </c>
      <c r="B6" s="10" t="s">
        <v>24</v>
      </c>
      <c r="C6" s="75" t="s">
        <v>8</v>
      </c>
      <c r="D6" s="76"/>
      <c r="E6" s="76"/>
      <c r="F6" s="76"/>
      <c r="G6" s="6" t="s">
        <v>25</v>
      </c>
      <c r="H6" s="6" t="s">
        <v>64</v>
      </c>
      <c r="I6" s="6" t="s">
        <v>65</v>
      </c>
      <c r="J6" s="62" t="s">
        <v>10</v>
      </c>
      <c r="K6" s="63"/>
    </row>
    <row r="7" spans="1:13" ht="30" customHeight="1" x14ac:dyDescent="0.3">
      <c r="A7" s="6" t="s">
        <v>87</v>
      </c>
      <c r="B7" s="27">
        <v>95309</v>
      </c>
      <c r="C7" s="84" t="str">
        <f>VLOOKUP(B7,S!$A:$D,2,FALSE)</f>
        <v>CURSO DE CAPACITAÇÃO PARA AJUDANTE DE CARPINTEIRO (ENCARGOS COMPLEMENTARES) - HORISTA</v>
      </c>
      <c r="D7" s="84"/>
      <c r="E7" s="84"/>
      <c r="F7" s="85"/>
      <c r="G7" s="6" t="str">
        <f>VLOOKUP(B7,S!$A:$D,3,FALSE)</f>
        <v>H</v>
      </c>
      <c r="H7" s="20"/>
      <c r="I7" s="20">
        <f>J9</f>
        <v>0.12</v>
      </c>
      <c r="J7" s="70"/>
      <c r="K7" s="71"/>
      <c r="L7" s="20">
        <f>VLOOKUP(B7,S!$A:$D,4,FALSE)</f>
        <v>0.12</v>
      </c>
      <c r="M7" s="6" t="str">
        <f>IF(ROUND((L7-I7),2)=0,"OK, confere com a tabela.",IF(ROUND((L7-I7),2)&lt;0,"ACIMA ("&amp;TEXT(ROUND(I7*100/L7,4),"0,0000")&amp;" %) da tabela.","ABAIXO ("&amp;TEXT(ROUND(I7*100/L7,4),"0,0000")&amp;" %) da tabela."))</f>
        <v>OK, confere com a tabela.</v>
      </c>
    </row>
    <row r="8" spans="1:13" ht="15" customHeight="1" x14ac:dyDescent="0.3">
      <c r="A8" s="17" t="s">
        <v>70</v>
      </c>
      <c r="B8" s="19">
        <v>6117</v>
      </c>
      <c r="C8" s="64" t="str">
        <f>VLOOKUP(B8,IF(A8="COMPOSICAO",S!$A:$D,I!$A:$D),2,FALSE)</f>
        <v>CARPINTEIRO AUXILIAR</v>
      </c>
      <c r="D8" s="64"/>
      <c r="E8" s="64"/>
      <c r="F8" s="64"/>
      <c r="G8" s="17" t="str">
        <f>VLOOKUP(B8,IF(A8="COMPOSICAO",S!$A:$D,I!$A:$D),3,FALSE)</f>
        <v>H</v>
      </c>
      <c r="H8" s="29">
        <v>1.0500000000000001E-2</v>
      </c>
      <c r="I8" s="18">
        <f>IF(A8="COMPOSICAO",VLOOKUP("TOTAL - "&amp;B8,COMPOSICAO_AUX_4!$A:$J,10,FALSE),VLOOKUP(B8,I!$A:$D,4,FALSE))</f>
        <v>11.75</v>
      </c>
      <c r="J8" s="67">
        <f>TRUNC(H8*I8,2)</f>
        <v>0.12</v>
      </c>
      <c r="K8" s="68"/>
    </row>
    <row r="9" spans="1:13" ht="15" customHeight="1" x14ac:dyDescent="0.3">
      <c r="A9" s="22" t="s">
        <v>120</v>
      </c>
      <c r="B9" s="23"/>
      <c r="C9" s="23"/>
      <c r="D9" s="23"/>
      <c r="E9" s="23"/>
      <c r="F9" s="23"/>
      <c r="G9" s="24"/>
      <c r="H9" s="25"/>
      <c r="I9" s="26"/>
      <c r="J9" s="67">
        <f>SUM(J7:K8)</f>
        <v>0.12</v>
      </c>
      <c r="K9" s="68"/>
    </row>
    <row r="10" spans="1:13" ht="15" customHeight="1" x14ac:dyDescent="0.3">
      <c r="A10" s="3"/>
      <c r="B10" s="3"/>
      <c r="C10" s="3"/>
      <c r="D10" s="3"/>
      <c r="E10" s="3"/>
      <c r="F10" s="3"/>
      <c r="G10" s="3"/>
      <c r="H10" s="3"/>
      <c r="I10" s="3"/>
      <c r="J10" s="3"/>
      <c r="K10" s="3"/>
    </row>
    <row r="11" spans="1:13" ht="15" customHeight="1" x14ac:dyDescent="0.3">
      <c r="A11" s="10" t="s">
        <v>63</v>
      </c>
      <c r="B11" s="10" t="s">
        <v>24</v>
      </c>
      <c r="C11" s="75" t="s">
        <v>8</v>
      </c>
      <c r="D11" s="76"/>
      <c r="E11" s="76"/>
      <c r="F11" s="76"/>
      <c r="G11" s="6" t="s">
        <v>25</v>
      </c>
      <c r="H11" s="6" t="s">
        <v>64</v>
      </c>
      <c r="I11" s="6" t="s">
        <v>65</v>
      </c>
      <c r="J11" s="62" t="s">
        <v>10</v>
      </c>
      <c r="K11" s="63"/>
    </row>
    <row r="12" spans="1:13" ht="30" customHeight="1" x14ac:dyDescent="0.3">
      <c r="A12" s="6" t="s">
        <v>87</v>
      </c>
      <c r="B12" s="27">
        <v>95329</v>
      </c>
      <c r="C12" s="84" t="str">
        <f>VLOOKUP(B12,S!$A:$D,2,FALSE)</f>
        <v>CURSO DE CAPACITAÇÃO PARA CARPINTEIRO DE ESQUADRIA (ENCARGOS COMPLEMENTARES) - HORISTA</v>
      </c>
      <c r="D12" s="84"/>
      <c r="E12" s="84"/>
      <c r="F12" s="85"/>
      <c r="G12" s="6" t="str">
        <f>VLOOKUP(B12,S!$A:$D,3,FALSE)</f>
        <v>H</v>
      </c>
      <c r="H12" s="20"/>
      <c r="I12" s="20">
        <f>J14</f>
        <v>0.14000000000000001</v>
      </c>
      <c r="J12" s="70"/>
      <c r="K12" s="71"/>
      <c r="L12" s="20">
        <f>VLOOKUP(B12,S!$A:$D,4,FALSE)</f>
        <v>0.14000000000000001</v>
      </c>
      <c r="M12" s="6" t="str">
        <f>IF(ROUND((L12-I12),2)=0,"OK, confere com a tabela.",IF(ROUND((L12-I12),2)&lt;0,"ACIMA ("&amp;TEXT(ROUND(I12*100/L12,4),"0,0000")&amp;" %) da tabela.","ABAIXO ("&amp;TEXT(ROUND(I12*100/L12,4),"0,0000")&amp;" %) da tabela."))</f>
        <v>OK, confere com a tabela.</v>
      </c>
    </row>
    <row r="13" spans="1:13" ht="15" customHeight="1" x14ac:dyDescent="0.3">
      <c r="A13" s="17" t="s">
        <v>70</v>
      </c>
      <c r="B13" s="19">
        <v>1214</v>
      </c>
      <c r="C13" s="64" t="str">
        <f>VLOOKUP(B13,IF(A13="COMPOSICAO",S!$A:$D,I!$A:$D),2,FALSE)</f>
        <v>CARPINTEIRO DE ESQUADRIAS</v>
      </c>
      <c r="D13" s="64"/>
      <c r="E13" s="64"/>
      <c r="F13" s="64"/>
      <c r="G13" s="17" t="str">
        <f>VLOOKUP(B13,IF(A13="COMPOSICAO",S!$A:$D,I!$A:$D),3,FALSE)</f>
        <v>H</v>
      </c>
      <c r="H13" s="29">
        <v>1.0500000000000001E-2</v>
      </c>
      <c r="I13" s="18">
        <f>IF(A13="COMPOSICAO",VLOOKUP("TOTAL - "&amp;B13,COMPOSICAO_AUX_4!$A:$J,10,FALSE),VLOOKUP(B13,I!$A:$D,4,FALSE))</f>
        <v>14.02</v>
      </c>
      <c r="J13" s="67">
        <f>TRUNC(H13*I13,2)</f>
        <v>0.14000000000000001</v>
      </c>
      <c r="K13" s="68"/>
    </row>
    <row r="14" spans="1:13" ht="15" customHeight="1" x14ac:dyDescent="0.3">
      <c r="A14" s="22" t="s">
        <v>121</v>
      </c>
      <c r="B14" s="23"/>
      <c r="C14" s="23"/>
      <c r="D14" s="23"/>
      <c r="E14" s="23"/>
      <c r="F14" s="23"/>
      <c r="G14" s="24"/>
      <c r="H14" s="25"/>
      <c r="I14" s="26"/>
      <c r="J14" s="67">
        <f>SUM(J12:K13)</f>
        <v>0.14000000000000001</v>
      </c>
      <c r="K14" s="68"/>
    </row>
    <row r="15" spans="1:13" ht="15" customHeight="1" x14ac:dyDescent="0.3">
      <c r="A15" s="3"/>
      <c r="B15" s="3"/>
      <c r="C15" s="3"/>
      <c r="D15" s="3"/>
      <c r="E15" s="3"/>
      <c r="F15" s="3"/>
      <c r="G15" s="3"/>
      <c r="H15" s="3"/>
      <c r="I15" s="3"/>
      <c r="J15" s="3"/>
      <c r="K15" s="3"/>
    </row>
    <row r="16" spans="1:13" ht="15" customHeight="1" x14ac:dyDescent="0.3">
      <c r="A16" s="10" t="s">
        <v>63</v>
      </c>
      <c r="B16" s="10" t="s">
        <v>24</v>
      </c>
      <c r="C16" s="75" t="s">
        <v>8</v>
      </c>
      <c r="D16" s="76"/>
      <c r="E16" s="76"/>
      <c r="F16" s="76"/>
      <c r="G16" s="6" t="s">
        <v>25</v>
      </c>
      <c r="H16" s="6" t="s">
        <v>64</v>
      </c>
      <c r="I16" s="6" t="s">
        <v>65</v>
      </c>
      <c r="J16" s="62" t="s">
        <v>10</v>
      </c>
      <c r="K16" s="63"/>
    </row>
    <row r="17" spans="1:13" ht="30" customHeight="1" x14ac:dyDescent="0.3">
      <c r="A17" s="6" t="s">
        <v>87</v>
      </c>
      <c r="B17" s="27">
        <v>95371</v>
      </c>
      <c r="C17" s="84" t="str">
        <f>VLOOKUP(B17,S!$A:$D,2,FALSE)</f>
        <v>CURSO DE CAPACITAÇÃO PARA PEDREIRO (ENCARGOS COMPLEMENTARES) - HORISTA</v>
      </c>
      <c r="D17" s="84"/>
      <c r="E17" s="84"/>
      <c r="F17" s="85"/>
      <c r="G17" s="6" t="str">
        <f>VLOOKUP(B17,S!$A:$D,3,FALSE)</f>
        <v>H</v>
      </c>
      <c r="H17" s="20"/>
      <c r="I17" s="20">
        <f>J19</f>
        <v>0.22</v>
      </c>
      <c r="J17" s="70"/>
      <c r="K17" s="71"/>
      <c r="L17" s="20">
        <f>VLOOKUP(B17,S!$A:$D,4,FALSE)</f>
        <v>0.22</v>
      </c>
      <c r="M17" s="6" t="str">
        <f>IF(ROUND((L17-I17),2)=0,"OK, confere com a tabela.",IF(ROUND((L17-I17),2)&lt;0,"ACIMA ("&amp;TEXT(ROUND(I17*100/L17,4),"0,0000")&amp;" %) da tabela.","ABAIXO ("&amp;TEXT(ROUND(I17*100/L17,4),"0,0000")&amp;" %) da tabela."))</f>
        <v>OK, confere com a tabela.</v>
      </c>
    </row>
    <row r="18" spans="1:13" ht="15" customHeight="1" x14ac:dyDescent="0.3">
      <c r="A18" s="17" t="s">
        <v>70</v>
      </c>
      <c r="B18" s="19">
        <v>4750</v>
      </c>
      <c r="C18" s="64" t="str">
        <f>VLOOKUP(B18,IF(A18="COMPOSICAO",S!$A:$D,I!$A:$D),2,FALSE)</f>
        <v>PEDREIRO</v>
      </c>
      <c r="D18" s="64"/>
      <c r="E18" s="64"/>
      <c r="F18" s="64"/>
      <c r="G18" s="17" t="str">
        <f>VLOOKUP(B18,IF(A18="COMPOSICAO",S!$A:$D,I!$A:$D),3,FALSE)</f>
        <v>H</v>
      </c>
      <c r="H18" s="29">
        <v>1.5100000000000001E-2</v>
      </c>
      <c r="I18" s="18">
        <f>IF(A18="COMPOSICAO",VLOOKUP("TOTAL - "&amp;B18,COMPOSICAO_AUX_4!$A:$J,10,FALSE),VLOOKUP(B18,I!$A:$D,4,FALSE))</f>
        <v>14.93</v>
      </c>
      <c r="J18" s="67">
        <f>TRUNC(H18*I18,2)</f>
        <v>0.22</v>
      </c>
      <c r="K18" s="68"/>
    </row>
    <row r="19" spans="1:13" ht="15" customHeight="1" x14ac:dyDescent="0.3">
      <c r="A19" s="22" t="s">
        <v>103</v>
      </c>
      <c r="B19" s="23"/>
      <c r="C19" s="23"/>
      <c r="D19" s="23"/>
      <c r="E19" s="23"/>
      <c r="F19" s="23"/>
      <c r="G19" s="24"/>
      <c r="H19" s="25"/>
      <c r="I19" s="26"/>
      <c r="J19" s="67">
        <f>SUM(J17:K18)</f>
        <v>0.22</v>
      </c>
      <c r="K19" s="68"/>
    </row>
    <row r="20" spans="1:13" ht="15" customHeight="1" x14ac:dyDescent="0.3">
      <c r="A20" s="3"/>
      <c r="B20" s="3"/>
      <c r="C20" s="3"/>
      <c r="D20" s="3"/>
      <c r="E20" s="3"/>
      <c r="F20" s="3"/>
      <c r="G20" s="3"/>
      <c r="H20" s="3"/>
      <c r="I20" s="3"/>
      <c r="J20" s="3"/>
      <c r="K20" s="3"/>
    </row>
    <row r="21" spans="1:13" ht="15" customHeight="1" x14ac:dyDescent="0.3">
      <c r="A21" s="10" t="s">
        <v>63</v>
      </c>
      <c r="B21" s="10" t="s">
        <v>24</v>
      </c>
      <c r="C21" s="75" t="s">
        <v>8</v>
      </c>
      <c r="D21" s="76"/>
      <c r="E21" s="76"/>
      <c r="F21" s="76"/>
      <c r="G21" s="6" t="s">
        <v>25</v>
      </c>
      <c r="H21" s="6" t="s">
        <v>64</v>
      </c>
      <c r="I21" s="6" t="s">
        <v>65</v>
      </c>
      <c r="J21" s="62" t="s">
        <v>10</v>
      </c>
      <c r="K21" s="63"/>
    </row>
    <row r="22" spans="1:13" ht="30" customHeight="1" x14ac:dyDescent="0.3">
      <c r="A22" s="6" t="s">
        <v>87</v>
      </c>
      <c r="B22" s="27">
        <v>95378</v>
      </c>
      <c r="C22" s="84" t="str">
        <f>VLOOKUP(B22,S!$A:$D,2,FALSE)</f>
        <v>CURSO DE CAPACITAÇÃO PARA SERVENTE (ENCARGOS COMPLEMENTARES) - HORISTA</v>
      </c>
      <c r="D22" s="84"/>
      <c r="E22" s="84"/>
      <c r="F22" s="85"/>
      <c r="G22" s="6" t="str">
        <f>VLOOKUP(B22,S!$A:$D,3,FALSE)</f>
        <v>H</v>
      </c>
      <c r="H22" s="20"/>
      <c r="I22" s="20">
        <f>J24</f>
        <v>0.16</v>
      </c>
      <c r="J22" s="70"/>
      <c r="K22" s="71"/>
      <c r="L22" s="20">
        <f>VLOOKUP(B22,S!$A:$D,4,FALSE)</f>
        <v>0.16</v>
      </c>
      <c r="M22" s="6" t="str">
        <f>IF(ROUND((L22-I22),2)=0,"OK, confere com a tabela.",IF(ROUND((L22-I22),2)&lt;0,"ACIMA ("&amp;TEXT(ROUND(I22*100/L22,4),"0,0000")&amp;" %) da tabela.","ABAIXO ("&amp;TEXT(ROUND(I22*100/L22,4),"0,0000")&amp;" %) da tabela."))</f>
        <v>OK, confere com a tabela.</v>
      </c>
    </row>
    <row r="23" spans="1:13" ht="15" customHeight="1" x14ac:dyDescent="0.3">
      <c r="A23" s="17" t="s">
        <v>70</v>
      </c>
      <c r="B23" s="19">
        <v>6111</v>
      </c>
      <c r="C23" s="64" t="str">
        <f>VLOOKUP(B23,IF(A23="COMPOSICAO",S!$A:$D,I!$A:$D),2,FALSE)</f>
        <v>SERVENTE DE OBRAS</v>
      </c>
      <c r="D23" s="64"/>
      <c r="E23" s="64"/>
      <c r="F23" s="64"/>
      <c r="G23" s="17" t="str">
        <f>VLOOKUP(B23,IF(A23="COMPOSICAO",S!$A:$D,I!$A:$D),3,FALSE)</f>
        <v>H</v>
      </c>
      <c r="H23" s="29">
        <v>1.5100000000000001E-2</v>
      </c>
      <c r="I23" s="18">
        <f>IF(A23="COMPOSICAO",VLOOKUP("TOTAL - "&amp;B23,COMPOSICAO_AUX_4!$A:$J,10,FALSE),VLOOKUP(B23,I!$A:$D,4,FALSE))</f>
        <v>10.6</v>
      </c>
      <c r="J23" s="67">
        <f>TRUNC(H23*I23,2)</f>
        <v>0.16</v>
      </c>
      <c r="K23" s="68"/>
    </row>
    <row r="24" spans="1:13" ht="15" customHeight="1" x14ac:dyDescent="0.3">
      <c r="A24" s="22" t="s">
        <v>104</v>
      </c>
      <c r="B24" s="23"/>
      <c r="C24" s="23"/>
      <c r="D24" s="23"/>
      <c r="E24" s="23"/>
      <c r="F24" s="23"/>
      <c r="G24" s="24"/>
      <c r="H24" s="25"/>
      <c r="I24" s="26"/>
      <c r="J24" s="67">
        <f>SUM(J22:K23)</f>
        <v>0.16</v>
      </c>
      <c r="K24" s="68"/>
    </row>
    <row r="25" spans="1:13" ht="15" customHeight="1" x14ac:dyDescent="0.3">
      <c r="A25" s="3"/>
      <c r="B25" s="3"/>
      <c r="C25" s="3"/>
      <c r="D25" s="3"/>
      <c r="E25" s="3"/>
      <c r="F25" s="3"/>
      <c r="G25" s="3"/>
      <c r="H25" s="3"/>
      <c r="I25" s="3"/>
      <c r="J25" s="3"/>
      <c r="K25" s="3"/>
    </row>
    <row r="26" spans="1:13" ht="15" customHeight="1" x14ac:dyDescent="0.3">
      <c r="A26" s="10" t="s">
        <v>63</v>
      </c>
      <c r="B26" s="10" t="s">
        <v>24</v>
      </c>
      <c r="C26" s="75" t="s">
        <v>8</v>
      </c>
      <c r="D26" s="76"/>
      <c r="E26" s="76"/>
      <c r="F26" s="76"/>
      <c r="G26" s="6" t="s">
        <v>25</v>
      </c>
      <c r="H26" s="6" t="s">
        <v>64</v>
      </c>
      <c r="I26" s="6" t="s">
        <v>65</v>
      </c>
      <c r="J26" s="62" t="s">
        <v>10</v>
      </c>
      <c r="K26" s="63"/>
    </row>
    <row r="27" spans="1:13" ht="45" customHeight="1" x14ac:dyDescent="0.3">
      <c r="A27" s="6" t="s">
        <v>107</v>
      </c>
      <c r="B27" s="27">
        <v>90582</v>
      </c>
      <c r="C27" s="84" t="str">
        <f>VLOOKUP(B27,S!$A:$D,2,FALSE)</f>
        <v>VIBRADOR DE IMERSÃO, DIÂMETRO DE PONTEIRA 45MM, MOTOR ELÉTRICO TRIFÁSICO POTÊNCIA DE 2 CV - DEPRECIAÇÃO. AF_06/2015</v>
      </c>
      <c r="D27" s="84"/>
      <c r="E27" s="84"/>
      <c r="F27" s="85"/>
      <c r="G27" s="6" t="str">
        <f>VLOOKUP(B27,S!$A:$D,3,FALSE)</f>
        <v>H</v>
      </c>
      <c r="H27" s="20"/>
      <c r="I27" s="20">
        <f>J29</f>
        <v>0.36</v>
      </c>
      <c r="J27" s="70"/>
      <c r="K27" s="71"/>
      <c r="L27" s="20">
        <f>VLOOKUP(B27,S!$A:$D,4,FALSE)</f>
        <v>0.36</v>
      </c>
      <c r="M27" s="6" t="str">
        <f>IF(ROUND((L27-I27),2)=0,"OK, confere com a tabela.",IF(ROUND((L27-I27),2)&lt;0,"ACIMA ("&amp;TEXT(ROUND(I27*100/L27,4),"0,0000")&amp;" %) da tabela.","ABAIXO ("&amp;TEXT(ROUND(I27*100/L27,4),"0,0000")&amp;" %) da tabela."))</f>
        <v>OK, confere com a tabela.</v>
      </c>
    </row>
    <row r="28" spans="1:13" ht="45" customHeight="1" x14ac:dyDescent="0.3">
      <c r="A28" s="17" t="s">
        <v>70</v>
      </c>
      <c r="B28" s="19">
        <v>13896</v>
      </c>
      <c r="C28" s="64" t="str">
        <f>VLOOKUP(B28,IF(A28="COMPOSICAO",S!$A:$D,I!$A:$D),2,FALSE)</f>
        <v>VIBRADOR DE IMERSAO, DIAMETRO DA PONTEIRA DE *45* MM, COM MOTOR ELETRICO TRIFASICO DE 2 HP (2 CV)</v>
      </c>
      <c r="D28" s="64"/>
      <c r="E28" s="64"/>
      <c r="F28" s="64"/>
      <c r="G28" s="17" t="str">
        <f>VLOOKUP(B28,IF(A28="COMPOSICAO",S!$A:$D,I!$A:$D),3,FALSE)</f>
        <v>UN</v>
      </c>
      <c r="H28" s="30">
        <v>1.2799999999999999E-4</v>
      </c>
      <c r="I28" s="18">
        <f>IF(A28="COMPOSICAO",VLOOKUP("TOTAL - "&amp;B28,COMPOSICAO_AUX_4!$A:$J,10,FALSE),VLOOKUP(B28,I!$A:$D,4,FALSE))</f>
        <v>2825.82</v>
      </c>
      <c r="J28" s="67">
        <f>TRUNC(H28*I28,2)</f>
        <v>0.36</v>
      </c>
      <c r="K28" s="68"/>
    </row>
    <row r="29" spans="1:13" ht="15" customHeight="1" x14ac:dyDescent="0.3">
      <c r="A29" s="22" t="s">
        <v>122</v>
      </c>
      <c r="B29" s="23"/>
      <c r="C29" s="23"/>
      <c r="D29" s="23"/>
      <c r="E29" s="23"/>
      <c r="F29" s="23"/>
      <c r="G29" s="24"/>
      <c r="H29" s="25"/>
      <c r="I29" s="26"/>
      <c r="J29" s="67">
        <f>SUM(J27:K28)</f>
        <v>0.36</v>
      </c>
      <c r="K29" s="68"/>
    </row>
    <row r="30" spans="1:13" ht="15" customHeight="1" x14ac:dyDescent="0.3">
      <c r="A30" s="3"/>
      <c r="B30" s="3"/>
      <c r="C30" s="3"/>
      <c r="D30" s="3"/>
      <c r="E30" s="3"/>
      <c r="F30" s="3"/>
      <c r="G30" s="3"/>
      <c r="H30" s="3"/>
      <c r="I30" s="3"/>
      <c r="J30" s="3"/>
      <c r="K30" s="3"/>
    </row>
    <row r="31" spans="1:13" ht="15" customHeight="1" x14ac:dyDescent="0.3">
      <c r="A31" s="10" t="s">
        <v>63</v>
      </c>
      <c r="B31" s="10" t="s">
        <v>24</v>
      </c>
      <c r="C31" s="75" t="s">
        <v>8</v>
      </c>
      <c r="D31" s="76"/>
      <c r="E31" s="76"/>
      <c r="F31" s="76"/>
      <c r="G31" s="6" t="s">
        <v>25</v>
      </c>
      <c r="H31" s="6" t="s">
        <v>64</v>
      </c>
      <c r="I31" s="6" t="s">
        <v>65</v>
      </c>
      <c r="J31" s="62" t="s">
        <v>10</v>
      </c>
      <c r="K31" s="63"/>
    </row>
    <row r="32" spans="1:13" ht="45" customHeight="1" x14ac:dyDescent="0.3">
      <c r="A32" s="6" t="s">
        <v>107</v>
      </c>
      <c r="B32" s="27">
        <v>90583</v>
      </c>
      <c r="C32" s="84" t="str">
        <f>VLOOKUP(B32,S!$A:$D,2,FALSE)</f>
        <v>VIBRADOR DE IMERSÃO, DIÂMETRO DE PONTEIRA 45MM, MOTOR ELÉTRICO TRIFÁSICO POTÊNCIA DE 2 CV - JUROS. AF_06/2015</v>
      </c>
      <c r="D32" s="84"/>
      <c r="E32" s="84"/>
      <c r="F32" s="85"/>
      <c r="G32" s="6" t="str">
        <f>VLOOKUP(B32,S!$A:$D,3,FALSE)</f>
        <v>H</v>
      </c>
      <c r="H32" s="20"/>
      <c r="I32" s="20">
        <f>J34</f>
        <v>0.04</v>
      </c>
      <c r="J32" s="70"/>
      <c r="K32" s="71"/>
      <c r="L32" s="20">
        <f>VLOOKUP(B32,S!$A:$D,4,FALSE)</f>
        <v>0.04</v>
      </c>
      <c r="M32" s="6" t="str">
        <f>IF(ROUND((L32-I32),2)=0,"OK, confere com a tabela.",IF(ROUND((L32-I32),2)&lt;0,"ACIMA ("&amp;TEXT(ROUND(I32*100/L32,4),"0,0000")&amp;" %) da tabela.","ABAIXO ("&amp;TEXT(ROUND(I32*100/L32,4),"0,0000")&amp;" %) da tabela."))</f>
        <v>OK, confere com a tabela.</v>
      </c>
    </row>
    <row r="33" spans="1:13" ht="45" customHeight="1" x14ac:dyDescent="0.3">
      <c r="A33" s="17" t="s">
        <v>70</v>
      </c>
      <c r="B33" s="19">
        <v>13896</v>
      </c>
      <c r="C33" s="64" t="str">
        <f>VLOOKUP(B33,IF(A33="COMPOSICAO",S!$A:$D,I!$A:$D),2,FALSE)</f>
        <v>VIBRADOR DE IMERSAO, DIAMETRO DA PONTEIRA DE *45* MM, COM MOTOR ELETRICO TRIFASICO DE 2 HP (2 CV)</v>
      </c>
      <c r="D33" s="64"/>
      <c r="E33" s="64"/>
      <c r="F33" s="64"/>
      <c r="G33" s="17" t="str">
        <f>VLOOKUP(B33,IF(A33="COMPOSICAO",S!$A:$D,I!$A:$D),3,FALSE)</f>
        <v>UN</v>
      </c>
      <c r="H33" s="31">
        <v>1.5099999999999999E-5</v>
      </c>
      <c r="I33" s="18">
        <f>IF(A33="COMPOSICAO",VLOOKUP("TOTAL - "&amp;B33,COMPOSICAO_AUX_4!$A:$J,10,FALSE),VLOOKUP(B33,I!$A:$D,4,FALSE))</f>
        <v>2825.82</v>
      </c>
      <c r="J33" s="67">
        <f>TRUNC(H33*I33,2)</f>
        <v>0.04</v>
      </c>
      <c r="K33" s="68"/>
    </row>
    <row r="34" spans="1:13" ht="15" customHeight="1" x14ac:dyDescent="0.3">
      <c r="A34" s="22" t="s">
        <v>123</v>
      </c>
      <c r="B34" s="23"/>
      <c r="C34" s="23"/>
      <c r="D34" s="23"/>
      <c r="E34" s="23"/>
      <c r="F34" s="23"/>
      <c r="G34" s="24"/>
      <c r="H34" s="25"/>
      <c r="I34" s="26"/>
      <c r="J34" s="67">
        <f>SUM(J32:K33)</f>
        <v>0.04</v>
      </c>
      <c r="K34" s="68"/>
    </row>
    <row r="35" spans="1:13" ht="15" customHeight="1" x14ac:dyDescent="0.3">
      <c r="A35" s="3"/>
      <c r="B35" s="3"/>
      <c r="C35" s="3"/>
      <c r="D35" s="3"/>
      <c r="E35" s="3"/>
      <c r="F35" s="3"/>
      <c r="G35" s="3"/>
      <c r="H35" s="3"/>
      <c r="I35" s="3"/>
      <c r="J35" s="3"/>
      <c r="K35" s="3"/>
    </row>
    <row r="36" spans="1:13" ht="15" customHeight="1" x14ac:dyDescent="0.3">
      <c r="A36" s="10" t="s">
        <v>63</v>
      </c>
      <c r="B36" s="10" t="s">
        <v>24</v>
      </c>
      <c r="C36" s="75" t="s">
        <v>8</v>
      </c>
      <c r="D36" s="76"/>
      <c r="E36" s="76"/>
      <c r="F36" s="76"/>
      <c r="G36" s="6" t="s">
        <v>25</v>
      </c>
      <c r="H36" s="6" t="s">
        <v>64</v>
      </c>
      <c r="I36" s="6" t="s">
        <v>65</v>
      </c>
      <c r="J36" s="62" t="s">
        <v>10</v>
      </c>
      <c r="K36" s="63"/>
    </row>
    <row r="37" spans="1:13" ht="45" customHeight="1" x14ac:dyDescent="0.3">
      <c r="A37" s="6" t="s">
        <v>107</v>
      </c>
      <c r="B37" s="27">
        <v>90584</v>
      </c>
      <c r="C37" s="84" t="str">
        <f>VLOOKUP(B37,S!$A:$D,2,FALSE)</f>
        <v>VIBRADOR DE IMERSÃO, DIÂMETRO DE PONTEIRA 45MM, MOTOR ELÉTRICO TRIFÁSICO POTÊNCIA DE 2 CV - MANUTENÇÃO. AF_06/2015</v>
      </c>
      <c r="D37" s="84"/>
      <c r="E37" s="84"/>
      <c r="F37" s="85"/>
      <c r="G37" s="6" t="str">
        <f>VLOOKUP(B37,S!$A:$D,3,FALSE)</f>
        <v>H</v>
      </c>
      <c r="H37" s="20"/>
      <c r="I37" s="20">
        <f>J39</f>
        <v>0.28000000000000003</v>
      </c>
      <c r="J37" s="70"/>
      <c r="K37" s="71"/>
      <c r="L37" s="20">
        <f>VLOOKUP(B37,S!$A:$D,4,FALSE)</f>
        <v>0.28000000000000003</v>
      </c>
      <c r="M37" s="6" t="str">
        <f>IF(ROUND((L37-I37),2)=0,"OK, confere com a tabela.",IF(ROUND((L37-I37),2)&lt;0,"ACIMA ("&amp;TEXT(ROUND(I37*100/L37,4),"0,0000")&amp;" %) da tabela.","ABAIXO ("&amp;TEXT(ROUND(I37*100/L37,4),"0,0000")&amp;" %) da tabela."))</f>
        <v>OK, confere com a tabela.</v>
      </c>
    </row>
    <row r="38" spans="1:13" ht="45" customHeight="1" x14ac:dyDescent="0.3">
      <c r="A38" s="17" t="s">
        <v>70</v>
      </c>
      <c r="B38" s="19">
        <v>13896</v>
      </c>
      <c r="C38" s="64" t="str">
        <f>VLOOKUP(B38,IF(A38="COMPOSICAO",S!$A:$D,I!$A:$D),2,FALSE)</f>
        <v>VIBRADOR DE IMERSAO, DIAMETRO DA PONTEIRA DE *45* MM, COM MOTOR ELETRICO TRIFASICO DE 2 HP (2 CV)</v>
      </c>
      <c r="D38" s="64"/>
      <c r="E38" s="64"/>
      <c r="F38" s="64"/>
      <c r="G38" s="17" t="str">
        <f>VLOOKUP(B38,IF(A38="COMPOSICAO",S!$A:$D,I!$A:$D),3,FALSE)</f>
        <v>UN</v>
      </c>
      <c r="H38" s="29">
        <v>1E-4</v>
      </c>
      <c r="I38" s="18">
        <f>IF(A38="COMPOSICAO",VLOOKUP("TOTAL - "&amp;B38,COMPOSICAO_AUX_4!$A:$J,10,FALSE),VLOOKUP(B38,I!$A:$D,4,FALSE))</f>
        <v>2825.82</v>
      </c>
      <c r="J38" s="67">
        <f>TRUNC(H38*I38,2)</f>
        <v>0.28000000000000003</v>
      </c>
      <c r="K38" s="68"/>
    </row>
    <row r="39" spans="1:13" ht="15" customHeight="1" x14ac:dyDescent="0.3">
      <c r="A39" s="22" t="s">
        <v>124</v>
      </c>
      <c r="B39" s="23"/>
      <c r="C39" s="23"/>
      <c r="D39" s="23"/>
      <c r="E39" s="23"/>
      <c r="F39" s="23"/>
      <c r="G39" s="24"/>
      <c r="H39" s="25"/>
      <c r="I39" s="26"/>
      <c r="J39" s="67">
        <f>SUM(J37:K38)</f>
        <v>0.28000000000000003</v>
      </c>
      <c r="K39" s="68"/>
    </row>
    <row r="40" spans="1:13" ht="15" customHeight="1" x14ac:dyDescent="0.3">
      <c r="A40" s="3"/>
      <c r="B40" s="3"/>
      <c r="C40" s="3"/>
      <c r="D40" s="3"/>
      <c r="E40" s="3"/>
      <c r="F40" s="3"/>
      <c r="G40" s="3"/>
      <c r="H40" s="3"/>
      <c r="I40" s="3"/>
      <c r="J40" s="3"/>
      <c r="K40" s="3"/>
    </row>
    <row r="41" spans="1:13" ht="15" customHeight="1" x14ac:dyDescent="0.3">
      <c r="A41" s="10" t="s">
        <v>63</v>
      </c>
      <c r="B41" s="10" t="s">
        <v>24</v>
      </c>
      <c r="C41" s="75" t="s">
        <v>8</v>
      </c>
      <c r="D41" s="76"/>
      <c r="E41" s="76"/>
      <c r="F41" s="76"/>
      <c r="G41" s="6" t="s">
        <v>25</v>
      </c>
      <c r="H41" s="6" t="s">
        <v>64</v>
      </c>
      <c r="I41" s="6" t="s">
        <v>65</v>
      </c>
      <c r="J41" s="62" t="s">
        <v>10</v>
      </c>
      <c r="K41" s="63"/>
    </row>
    <row r="42" spans="1:13" ht="45" customHeight="1" x14ac:dyDescent="0.3">
      <c r="A42" s="6" t="s">
        <v>107</v>
      </c>
      <c r="B42" s="27">
        <v>90585</v>
      </c>
      <c r="C42" s="84" t="str">
        <f>VLOOKUP(B42,S!$A:$D,2,FALSE)</f>
        <v>VIBRADOR DE IMERSÃO, DIÂMETRO DE PONTEIRA 45MM, MOTOR ELÉTRICO TRIFÁSICO POTÊNCIA DE 2 CV - MATERIAIS NA OPERAÇÃO. AF_06/2015</v>
      </c>
      <c r="D42" s="84"/>
      <c r="E42" s="84"/>
      <c r="F42" s="85"/>
      <c r="G42" s="6" t="str">
        <f>VLOOKUP(B42,S!$A:$D,3,FALSE)</f>
        <v>H</v>
      </c>
      <c r="H42" s="20"/>
      <c r="I42" s="20">
        <f>J44</f>
        <v>0.95</v>
      </c>
      <c r="J42" s="70"/>
      <c r="K42" s="71"/>
      <c r="L42" s="20">
        <f>VLOOKUP(B42,S!$A:$D,4,FALSE)</f>
        <v>0.95</v>
      </c>
      <c r="M42" s="6" t="str">
        <f>IF(ROUND((L42-I42),2)=0,"OK, confere com a tabela.",IF(ROUND((L42-I42),2)&lt;0,"ACIMA ("&amp;TEXT(ROUND(I42*100/L42,4),"0,0000")&amp;" %) da tabela.","ABAIXO ("&amp;TEXT(ROUND(I42*100/L42,4),"0,0000")&amp;" %) da tabela."))</f>
        <v>OK, confere com a tabela.</v>
      </c>
    </row>
    <row r="43" spans="1:13" ht="30" customHeight="1" x14ac:dyDescent="0.3">
      <c r="A43" s="17" t="s">
        <v>70</v>
      </c>
      <c r="B43" s="19">
        <v>2705</v>
      </c>
      <c r="C43" s="64" t="str">
        <f>VLOOKUP(B43,IF(A43="COMPOSICAO",S!$A:$D,I!$A:$D),2,FALSE)</f>
        <v>ENERGIA ELETRICA ATE 2000 KWH INDUSTRIAL, SEM DEMANDA</v>
      </c>
      <c r="D43" s="64"/>
      <c r="E43" s="64"/>
      <c r="F43" s="64"/>
      <c r="G43" s="17" t="str">
        <f>VLOOKUP(B43,IF(A43="COMPOSICAO",S!$A:$D,I!$A:$D),3,FALSE)</f>
        <v>KW/H</v>
      </c>
      <c r="H43" s="18">
        <v>1.25</v>
      </c>
      <c r="I43" s="18">
        <f>IF(A43="COMPOSICAO",VLOOKUP("TOTAL - "&amp;B43,COMPOSICAO_AUX_4!$A:$J,10,FALSE),VLOOKUP(B43,I!$A:$D,4,FALSE))</f>
        <v>0.76</v>
      </c>
      <c r="J43" s="67">
        <f>TRUNC(H43*I43,2)</f>
        <v>0.95</v>
      </c>
      <c r="K43" s="68"/>
    </row>
    <row r="44" spans="1:13" ht="15" customHeight="1" x14ac:dyDescent="0.3">
      <c r="A44" s="22" t="s">
        <v>125</v>
      </c>
      <c r="B44" s="23"/>
      <c r="C44" s="23"/>
      <c r="D44" s="23"/>
      <c r="E44" s="23"/>
      <c r="F44" s="23"/>
      <c r="G44" s="24"/>
      <c r="H44" s="25"/>
      <c r="I44" s="26"/>
      <c r="J44" s="67">
        <f>SUM(J42:K43)</f>
        <v>0.95</v>
      </c>
      <c r="K44" s="68"/>
    </row>
    <row r="45" spans="1:13" ht="15" customHeight="1" x14ac:dyDescent="0.3">
      <c r="A45" s="3"/>
      <c r="B45" s="3"/>
      <c r="C45" s="3"/>
      <c r="D45" s="3"/>
      <c r="E45" s="3"/>
      <c r="F45" s="3"/>
      <c r="G45" s="3"/>
      <c r="H45" s="3"/>
      <c r="I45" s="3"/>
      <c r="J45" s="3"/>
      <c r="K45" s="3"/>
    </row>
    <row r="46" spans="1:13" ht="15" customHeight="1" x14ac:dyDescent="0.3">
      <c r="A46" s="10" t="s">
        <v>63</v>
      </c>
      <c r="B46" s="10" t="s">
        <v>24</v>
      </c>
      <c r="C46" s="75" t="s">
        <v>8</v>
      </c>
      <c r="D46" s="76"/>
      <c r="E46" s="76"/>
      <c r="F46" s="76"/>
      <c r="G46" s="6" t="s">
        <v>25</v>
      </c>
      <c r="H46" s="6" t="s">
        <v>64</v>
      </c>
      <c r="I46" s="6" t="s">
        <v>65</v>
      </c>
      <c r="J46" s="62" t="s">
        <v>10</v>
      </c>
      <c r="K46" s="63"/>
    </row>
    <row r="47" spans="1:13" ht="30" customHeight="1" x14ac:dyDescent="0.3">
      <c r="A47" s="6" t="s">
        <v>87</v>
      </c>
      <c r="B47" s="27">
        <v>88297</v>
      </c>
      <c r="C47" s="84" t="str">
        <f>VLOOKUP(B47,S!$A:$D,2,FALSE)</f>
        <v>OPERADOR DE MÁQUINAS E EQUIPAMENTOS COM ENCARGOS COMPLEMENTARES</v>
      </c>
      <c r="D47" s="84"/>
      <c r="E47" s="84"/>
      <c r="F47" s="85"/>
      <c r="G47" s="6" t="str">
        <f>VLOOKUP(B47,S!$A:$D,3,FALSE)</f>
        <v>H</v>
      </c>
      <c r="H47" s="20"/>
      <c r="I47" s="20">
        <f>J56</f>
        <v>24.4</v>
      </c>
      <c r="J47" s="70"/>
      <c r="K47" s="71"/>
      <c r="L47" s="20">
        <f>VLOOKUP(B47,S!$A:$D,4,FALSE)</f>
        <v>24.4</v>
      </c>
      <c r="M47" s="6" t="str">
        <f>IF(ROUND((L47-I47),2)=0,"OK, confere com a tabela.",IF(ROUND((L47-I47),2)&lt;0,"ACIMA ("&amp;TEXT(ROUND(I47*100/L47,4),"0,0000")&amp;" %) da tabela.","ABAIXO ("&amp;TEXT(ROUND(I47*100/L47,4),"0,0000")&amp;" %) da tabela."))</f>
        <v>OK, confere com a tabela.</v>
      </c>
    </row>
    <row r="48" spans="1:13" ht="30" customHeight="1" x14ac:dyDescent="0.3">
      <c r="A48" s="17" t="s">
        <v>70</v>
      </c>
      <c r="B48" s="19">
        <v>4230</v>
      </c>
      <c r="C48" s="64" t="str">
        <f>VLOOKUP(B48,IF(A48="COMPOSICAO",S!$A:$D,I!$A:$D),2,FALSE)</f>
        <v>OPERADOR DE MAQUINAS E TRATORES DIVERSOS (TERRAPLANAGEM)</v>
      </c>
      <c r="D48" s="64"/>
      <c r="E48" s="64"/>
      <c r="F48" s="64"/>
      <c r="G48" s="17" t="str">
        <f>VLOOKUP(B48,IF(A48="COMPOSICAO",S!$A:$D,I!$A:$D),3,FALSE)</f>
        <v>H</v>
      </c>
      <c r="H48" s="18">
        <v>1</v>
      </c>
      <c r="I48" s="18">
        <f>IF(A48="COMPOSICAO",VLOOKUP("TOTAL - "&amp;B48,COMPOSICAO_AUX_4!$A:$J,10,FALSE),VLOOKUP(B48,I!$A:$D,4,FALSE))</f>
        <v>20.43</v>
      </c>
      <c r="J48" s="67">
        <f t="shared" ref="J48:J55" si="0">TRUNC(H48*I48,2)</f>
        <v>20.43</v>
      </c>
      <c r="K48" s="68"/>
    </row>
    <row r="49" spans="1:13" ht="15" customHeight="1" x14ac:dyDescent="0.3">
      <c r="A49" s="17" t="s">
        <v>70</v>
      </c>
      <c r="B49" s="19">
        <v>37370</v>
      </c>
      <c r="C49" s="64" t="str">
        <f>VLOOKUP(B49,IF(A49="COMPOSICAO",S!$A:$D,I!$A:$D),2,FALSE)</f>
        <v>ALIMENTACAO - HORISTA (COLETADO CAIXA)</v>
      </c>
      <c r="D49" s="64"/>
      <c r="E49" s="64"/>
      <c r="F49" s="64"/>
      <c r="G49" s="17" t="str">
        <f>VLOOKUP(B49,IF(A49="COMPOSICAO",S!$A:$D,I!$A:$D),3,FALSE)</f>
        <v>H</v>
      </c>
      <c r="H49" s="18">
        <v>1</v>
      </c>
      <c r="I49" s="18">
        <f>IF(A49="COMPOSICAO",VLOOKUP("TOTAL - "&amp;B49,COMPOSICAO_AUX_4!$A:$J,10,FALSE),VLOOKUP(B49,I!$A:$D,4,FALSE))</f>
        <v>1.86</v>
      </c>
      <c r="J49" s="67">
        <f t="shared" si="0"/>
        <v>1.86</v>
      </c>
      <c r="K49" s="68"/>
    </row>
    <row r="50" spans="1:13" ht="15" customHeight="1" x14ac:dyDescent="0.3">
      <c r="A50" s="17" t="s">
        <v>70</v>
      </c>
      <c r="B50" s="19">
        <v>37371</v>
      </c>
      <c r="C50" s="64" t="str">
        <f>VLOOKUP(B50,IF(A50="COMPOSICAO",S!$A:$D,I!$A:$D),2,FALSE)</f>
        <v>TRANSPORTE - HORISTA (COLETADO CAIXA)</v>
      </c>
      <c r="D50" s="64"/>
      <c r="E50" s="64"/>
      <c r="F50" s="64"/>
      <c r="G50" s="17" t="str">
        <f>VLOOKUP(B50,IF(A50="COMPOSICAO",S!$A:$D,I!$A:$D),3,FALSE)</f>
        <v>H</v>
      </c>
      <c r="H50" s="18">
        <v>1</v>
      </c>
      <c r="I50" s="18">
        <f>IF(A50="COMPOSICAO",VLOOKUP("TOTAL - "&amp;B50,COMPOSICAO_AUX_4!$A:$J,10,FALSE),VLOOKUP(B50,I!$A:$D,4,FALSE))</f>
        <v>0.7</v>
      </c>
      <c r="J50" s="67">
        <f t="shared" si="0"/>
        <v>0.7</v>
      </c>
      <c r="K50" s="68"/>
    </row>
    <row r="51" spans="1:13" ht="15" customHeight="1" x14ac:dyDescent="0.3">
      <c r="A51" s="17" t="s">
        <v>70</v>
      </c>
      <c r="B51" s="19">
        <v>37372</v>
      </c>
      <c r="C51" s="64" t="str">
        <f>VLOOKUP(B51,IF(A51="COMPOSICAO",S!$A:$D,I!$A:$D),2,FALSE)</f>
        <v>EXAMES - HORISTA (COLETADO CAIXA)</v>
      </c>
      <c r="D51" s="64"/>
      <c r="E51" s="64"/>
      <c r="F51" s="64"/>
      <c r="G51" s="17" t="str">
        <f>VLOOKUP(B51,IF(A51="COMPOSICAO",S!$A:$D,I!$A:$D),3,FALSE)</f>
        <v>H</v>
      </c>
      <c r="H51" s="18">
        <v>1</v>
      </c>
      <c r="I51" s="18">
        <f>IF(A51="COMPOSICAO",VLOOKUP("TOTAL - "&amp;B51,COMPOSICAO_AUX_4!$A:$J,10,FALSE),VLOOKUP(B51,I!$A:$D,4,FALSE))</f>
        <v>0.55000000000000004</v>
      </c>
      <c r="J51" s="67">
        <f t="shared" si="0"/>
        <v>0.55000000000000004</v>
      </c>
      <c r="K51" s="68"/>
    </row>
    <row r="52" spans="1:13" ht="15" customHeight="1" x14ac:dyDescent="0.3">
      <c r="A52" s="17" t="s">
        <v>70</v>
      </c>
      <c r="B52" s="19">
        <v>37373</v>
      </c>
      <c r="C52" s="64" t="str">
        <f>VLOOKUP(B52,IF(A52="COMPOSICAO",S!$A:$D,I!$A:$D),2,FALSE)</f>
        <v>SEGURO - HORISTA (COLETADO CAIXA)</v>
      </c>
      <c r="D52" s="64"/>
      <c r="E52" s="64"/>
      <c r="F52" s="64"/>
      <c r="G52" s="17" t="str">
        <f>VLOOKUP(B52,IF(A52="COMPOSICAO",S!$A:$D,I!$A:$D),3,FALSE)</f>
        <v>H</v>
      </c>
      <c r="H52" s="18">
        <v>1</v>
      </c>
      <c r="I52" s="18">
        <f>IF(A52="COMPOSICAO",VLOOKUP("TOTAL - "&amp;B52,COMPOSICAO_AUX_4!$A:$J,10,FALSE),VLOOKUP(B52,I!$A:$D,4,FALSE))</f>
        <v>0.06</v>
      </c>
      <c r="J52" s="67">
        <f t="shared" si="0"/>
        <v>0.06</v>
      </c>
      <c r="K52" s="68"/>
    </row>
    <row r="53" spans="1:13" ht="45" customHeight="1" x14ac:dyDescent="0.3">
      <c r="A53" s="17" t="s">
        <v>70</v>
      </c>
      <c r="B53" s="19">
        <v>43464</v>
      </c>
      <c r="C53" s="64" t="str">
        <f>VLOOKUP(B53,IF(A53="COMPOSICAO",S!$A:$D,I!$A:$D),2,FALSE)</f>
        <v>FERRAMENTAS - FAMILIA OPERADOR ESCAVADEIRA - HORISTA (ENCARGOS COMPLEMENTARES - COLETADO CAIXA)</v>
      </c>
      <c r="D53" s="64"/>
      <c r="E53" s="64"/>
      <c r="F53" s="64"/>
      <c r="G53" s="17" t="str">
        <f>VLOOKUP(B53,IF(A53="COMPOSICAO",S!$A:$D,I!$A:$D),3,FALSE)</f>
        <v>H</v>
      </c>
      <c r="H53" s="18">
        <v>1</v>
      </c>
      <c r="I53" s="18">
        <f>IF(A53="COMPOSICAO",VLOOKUP("TOTAL - "&amp;B53,COMPOSICAO_AUX_4!$A:$J,10,FALSE),VLOOKUP(B53,I!$A:$D,4,FALSE))</f>
        <v>0.01</v>
      </c>
      <c r="J53" s="67">
        <f t="shared" si="0"/>
        <v>0.01</v>
      </c>
      <c r="K53" s="68"/>
    </row>
    <row r="54" spans="1:13" ht="30" customHeight="1" x14ac:dyDescent="0.3">
      <c r="A54" s="17" t="s">
        <v>70</v>
      </c>
      <c r="B54" s="19">
        <v>43488</v>
      </c>
      <c r="C54" s="64" t="str">
        <f>VLOOKUP(B54,IF(A54="COMPOSICAO",S!$A:$D,I!$A:$D),2,FALSE)</f>
        <v>EPI - FAMILIA OPERADOR ESCAVADEIRA - HORISTA (ENCARGOS COMPLEMENTARES - COLETADO CAIXA)</v>
      </c>
      <c r="D54" s="64"/>
      <c r="E54" s="64"/>
      <c r="F54" s="64"/>
      <c r="G54" s="17" t="str">
        <f>VLOOKUP(B54,IF(A54="COMPOSICAO",S!$A:$D,I!$A:$D),3,FALSE)</f>
        <v>H</v>
      </c>
      <c r="H54" s="18">
        <v>1</v>
      </c>
      <c r="I54" s="18">
        <f>IF(A54="COMPOSICAO",VLOOKUP("TOTAL - "&amp;B54,COMPOSICAO_AUX_4!$A:$J,10,FALSE),VLOOKUP(B54,I!$A:$D,4,FALSE))</f>
        <v>0.63</v>
      </c>
      <c r="J54" s="67">
        <f t="shared" si="0"/>
        <v>0.63</v>
      </c>
      <c r="K54" s="68"/>
    </row>
    <row r="55" spans="1:13" ht="45" customHeight="1" x14ac:dyDescent="0.3">
      <c r="A55" s="17" t="s">
        <v>71</v>
      </c>
      <c r="B55" s="19">
        <v>95360</v>
      </c>
      <c r="C55" s="64" t="str">
        <f>VLOOKUP(B55,IF(A55="COMPOSICAO",S!$A:$D,I!$A:$D),2,FALSE)</f>
        <v>CURSO DE CAPACITAÇÃO PARA OPERADOR DE MÁQUINAS E EQUIPAMENTOS (ENCARGOS COMPLEMENTARES) - HORISTA</v>
      </c>
      <c r="D55" s="64"/>
      <c r="E55" s="64"/>
      <c r="F55" s="64"/>
      <c r="G55" s="17" t="str">
        <f>VLOOKUP(B55,IF(A55="COMPOSICAO",S!$A:$D,I!$A:$D),3,FALSE)</f>
        <v>H</v>
      </c>
      <c r="H55" s="18">
        <v>1</v>
      </c>
      <c r="I55" s="18">
        <f>IF(A55="COMPOSICAO",VLOOKUP("TOTAL - "&amp;B55,COMPOSICAO_AUX_4!$A:$J,10,FALSE),VLOOKUP(B55,I!$A:$D,4,FALSE))</f>
        <v>0.16</v>
      </c>
      <c r="J55" s="67">
        <f t="shared" si="0"/>
        <v>0.16</v>
      </c>
      <c r="K55" s="68"/>
    </row>
    <row r="56" spans="1:13" ht="15" customHeight="1" x14ac:dyDescent="0.3">
      <c r="A56" s="22" t="s">
        <v>126</v>
      </c>
      <c r="B56" s="23"/>
      <c r="C56" s="23"/>
      <c r="D56" s="23"/>
      <c r="E56" s="23"/>
      <c r="F56" s="23"/>
      <c r="G56" s="24"/>
      <c r="H56" s="25"/>
      <c r="I56" s="26"/>
      <c r="J56" s="67">
        <f>SUM(J47:K55)</f>
        <v>24.4</v>
      </c>
      <c r="K56" s="68"/>
    </row>
    <row r="57" spans="1:13" ht="15" customHeight="1" x14ac:dyDescent="0.3">
      <c r="A57" s="3"/>
      <c r="B57" s="3"/>
      <c r="C57" s="3"/>
      <c r="D57" s="3"/>
      <c r="E57" s="3"/>
      <c r="F57" s="3"/>
      <c r="G57" s="3"/>
      <c r="H57" s="3"/>
      <c r="I57" s="3"/>
      <c r="J57" s="3"/>
      <c r="K57" s="3"/>
    </row>
    <row r="58" spans="1:13" ht="15" customHeight="1" x14ac:dyDescent="0.3">
      <c r="A58" s="10" t="s">
        <v>63</v>
      </c>
      <c r="B58" s="10" t="s">
        <v>24</v>
      </c>
      <c r="C58" s="75" t="s">
        <v>8</v>
      </c>
      <c r="D58" s="76"/>
      <c r="E58" s="76"/>
      <c r="F58" s="76"/>
      <c r="G58" s="6" t="s">
        <v>25</v>
      </c>
      <c r="H58" s="6" t="s">
        <v>64</v>
      </c>
      <c r="I58" s="6" t="s">
        <v>65</v>
      </c>
      <c r="J58" s="62" t="s">
        <v>10</v>
      </c>
      <c r="K58" s="63"/>
    </row>
    <row r="59" spans="1:13" ht="45" customHeight="1" x14ac:dyDescent="0.3">
      <c r="A59" s="6" t="s">
        <v>107</v>
      </c>
      <c r="B59" s="27">
        <v>91688</v>
      </c>
      <c r="C59" s="84" t="str">
        <f>VLOOKUP(B59,S!$A:$D,2,FALSE)</f>
        <v>SERRA CIRCULAR DE BANCADA COM MOTOR ELÉTRICO POTÊNCIA DE 5HP, COM COIFA PARA DISCO 10" - DEPRECIAÇÃO. AF_08/2015</v>
      </c>
      <c r="D59" s="84"/>
      <c r="E59" s="84"/>
      <c r="F59" s="85"/>
      <c r="G59" s="6" t="str">
        <f>VLOOKUP(B59,S!$A:$D,3,FALSE)</f>
        <v>H</v>
      </c>
      <c r="H59" s="20"/>
      <c r="I59" s="20">
        <f>J61</f>
        <v>0.09</v>
      </c>
      <c r="J59" s="70"/>
      <c r="K59" s="71"/>
      <c r="L59" s="20">
        <f>VLOOKUP(B59,S!$A:$D,4,FALSE)</f>
        <v>0.09</v>
      </c>
      <c r="M59" s="6" t="str">
        <f>IF(ROUND((L59-I59),2)=0,"OK, confere com a tabela.",IF(ROUND((L59-I59),2)&lt;0,"ACIMA ("&amp;TEXT(ROUND(I59*100/L59,4),"0,0000")&amp;" %) da tabela.","ABAIXO ("&amp;TEXT(ROUND(I59*100/L59,4),"0,0000")&amp;" %) da tabela."))</f>
        <v>OK, confere com a tabela.</v>
      </c>
    </row>
    <row r="60" spans="1:13" ht="45" customHeight="1" x14ac:dyDescent="0.3">
      <c r="A60" s="17" t="s">
        <v>70</v>
      </c>
      <c r="B60" s="19">
        <v>14618</v>
      </c>
      <c r="C60" s="64" t="str">
        <f>VLOOKUP(B60,IF(A60="COMPOSICAO",S!$A:$D,I!$A:$D),2,FALSE)</f>
        <v>SERRA CIRCULAR DE BANCADA COM MOTOR ELETRICO, POTENCIA DE *1600* W, PARA DISCO DE DIAMETRO DE 10" (250 MM)</v>
      </c>
      <c r="D60" s="64"/>
      <c r="E60" s="64"/>
      <c r="F60" s="64"/>
      <c r="G60" s="17" t="str">
        <f>VLOOKUP(B60,IF(A60="COMPOSICAO",S!$A:$D,I!$A:$D),3,FALSE)</f>
        <v>UN</v>
      </c>
      <c r="H60" s="30">
        <v>7.2000000000000002E-5</v>
      </c>
      <c r="I60" s="18">
        <f>IF(A60="COMPOSICAO",VLOOKUP("TOTAL - "&amp;B60,COMPOSICAO_AUX_4!$A:$J,10,FALSE),VLOOKUP(B60,I!$A:$D,4,FALSE))</f>
        <v>1385.85</v>
      </c>
      <c r="J60" s="67">
        <f>TRUNC(H60*I60,2)</f>
        <v>0.09</v>
      </c>
      <c r="K60" s="68"/>
    </row>
    <row r="61" spans="1:13" ht="15" customHeight="1" x14ac:dyDescent="0.3">
      <c r="A61" s="22" t="s">
        <v>127</v>
      </c>
      <c r="B61" s="23"/>
      <c r="C61" s="23"/>
      <c r="D61" s="23"/>
      <c r="E61" s="23"/>
      <c r="F61" s="23"/>
      <c r="G61" s="24"/>
      <c r="H61" s="25"/>
      <c r="I61" s="26"/>
      <c r="J61" s="67">
        <f>SUM(J59:K60)</f>
        <v>0.09</v>
      </c>
      <c r="K61" s="68"/>
    </row>
    <row r="62" spans="1:13" ht="15" customHeight="1" x14ac:dyDescent="0.3">
      <c r="A62" s="3"/>
      <c r="B62" s="3"/>
      <c r="C62" s="3"/>
      <c r="D62" s="3"/>
      <c r="E62" s="3"/>
      <c r="F62" s="3"/>
      <c r="G62" s="3"/>
      <c r="H62" s="3"/>
      <c r="I62" s="3"/>
      <c r="J62" s="3"/>
      <c r="K62" s="3"/>
    </row>
    <row r="63" spans="1:13" ht="15" customHeight="1" x14ac:dyDescent="0.3">
      <c r="A63" s="10" t="s">
        <v>63</v>
      </c>
      <c r="B63" s="10" t="s">
        <v>24</v>
      </c>
      <c r="C63" s="75" t="s">
        <v>8</v>
      </c>
      <c r="D63" s="76"/>
      <c r="E63" s="76"/>
      <c r="F63" s="76"/>
      <c r="G63" s="6" t="s">
        <v>25</v>
      </c>
      <c r="H63" s="6" t="s">
        <v>64</v>
      </c>
      <c r="I63" s="6" t="s">
        <v>65</v>
      </c>
      <c r="J63" s="62" t="s">
        <v>10</v>
      </c>
      <c r="K63" s="63"/>
    </row>
    <row r="64" spans="1:13" ht="45" customHeight="1" x14ac:dyDescent="0.3">
      <c r="A64" s="6" t="s">
        <v>107</v>
      </c>
      <c r="B64" s="27">
        <v>91689</v>
      </c>
      <c r="C64" s="84" t="str">
        <f>VLOOKUP(B64,S!$A:$D,2,FALSE)</f>
        <v>SERRA CIRCULAR DE BANCADA COM MOTOR ELÉTRICO POTÊNCIA DE 5HP, COM COIFA PARA DISCO 10" - JUROS. AF_08/2015</v>
      </c>
      <c r="D64" s="84"/>
      <c r="E64" s="84"/>
      <c r="F64" s="85"/>
      <c r="G64" s="6" t="str">
        <f>VLOOKUP(B64,S!$A:$D,3,FALSE)</f>
        <v>H</v>
      </c>
      <c r="H64" s="20"/>
      <c r="I64" s="20">
        <f>J66</f>
        <v>0.01</v>
      </c>
      <c r="J64" s="70"/>
      <c r="K64" s="71"/>
      <c r="L64" s="20">
        <f>VLOOKUP(B64,S!$A:$D,4,FALSE)</f>
        <v>0.01</v>
      </c>
      <c r="M64" s="6" t="str">
        <f>IF(ROUND((L64-I64),2)=0,"OK, confere com a tabela.",IF(ROUND((L64-I64),2)&lt;0,"ACIMA ("&amp;TEXT(ROUND(I64*100/L64,4),"0,0000")&amp;" %) da tabela.","ABAIXO ("&amp;TEXT(ROUND(I64*100/L64,4),"0,0000")&amp;" %) da tabela."))</f>
        <v>OK, confere com a tabela.</v>
      </c>
    </row>
    <row r="65" spans="1:13" ht="45" customHeight="1" x14ac:dyDescent="0.3">
      <c r="A65" s="17" t="s">
        <v>70</v>
      </c>
      <c r="B65" s="19">
        <v>14618</v>
      </c>
      <c r="C65" s="64" t="str">
        <f>VLOOKUP(B65,IF(A65="COMPOSICAO",S!$A:$D,I!$A:$D),2,FALSE)</f>
        <v>SERRA CIRCULAR DE BANCADA COM MOTOR ELETRICO, POTENCIA DE *1600* W, PARA DISCO DE DIAMETRO DE 10" (250 MM)</v>
      </c>
      <c r="D65" s="64"/>
      <c r="E65" s="64"/>
      <c r="F65" s="64"/>
      <c r="G65" s="17" t="str">
        <f>VLOOKUP(B65,IF(A65="COMPOSICAO",S!$A:$D,I!$A:$D),3,FALSE)</f>
        <v>UN</v>
      </c>
      <c r="H65" s="31">
        <v>1.4399999999999999E-5</v>
      </c>
      <c r="I65" s="18">
        <f>IF(A65="COMPOSICAO",VLOOKUP("TOTAL - "&amp;B65,COMPOSICAO_AUX_4!$A:$J,10,FALSE),VLOOKUP(B65,I!$A:$D,4,FALSE))</f>
        <v>1385.85</v>
      </c>
      <c r="J65" s="67">
        <f>TRUNC(H65*I65,2)</f>
        <v>0.01</v>
      </c>
      <c r="K65" s="68"/>
    </row>
    <row r="66" spans="1:13" ht="15" customHeight="1" x14ac:dyDescent="0.3">
      <c r="A66" s="22" t="s">
        <v>128</v>
      </c>
      <c r="B66" s="23"/>
      <c r="C66" s="23"/>
      <c r="D66" s="23"/>
      <c r="E66" s="23"/>
      <c r="F66" s="23"/>
      <c r="G66" s="24"/>
      <c r="H66" s="25"/>
      <c r="I66" s="26"/>
      <c r="J66" s="67">
        <f>SUM(J64:K65)</f>
        <v>0.01</v>
      </c>
      <c r="K66" s="68"/>
    </row>
    <row r="67" spans="1:13" ht="15" customHeight="1" x14ac:dyDescent="0.3">
      <c r="A67" s="3"/>
      <c r="B67" s="3"/>
      <c r="C67" s="3"/>
      <c r="D67" s="3"/>
      <c r="E67" s="3"/>
      <c r="F67" s="3"/>
      <c r="G67" s="3"/>
      <c r="H67" s="3"/>
      <c r="I67" s="3"/>
      <c r="J67" s="3"/>
      <c r="K67" s="3"/>
    </row>
    <row r="68" spans="1:13" ht="15" customHeight="1" x14ac:dyDescent="0.3">
      <c r="A68" s="10" t="s">
        <v>63</v>
      </c>
      <c r="B68" s="10" t="s">
        <v>24</v>
      </c>
      <c r="C68" s="75" t="s">
        <v>8</v>
      </c>
      <c r="D68" s="76"/>
      <c r="E68" s="76"/>
      <c r="F68" s="76"/>
      <c r="G68" s="6" t="s">
        <v>25</v>
      </c>
      <c r="H68" s="6" t="s">
        <v>64</v>
      </c>
      <c r="I68" s="6" t="s">
        <v>65</v>
      </c>
      <c r="J68" s="62" t="s">
        <v>10</v>
      </c>
      <c r="K68" s="63"/>
    </row>
    <row r="69" spans="1:13" ht="45" customHeight="1" x14ac:dyDescent="0.3">
      <c r="A69" s="6" t="s">
        <v>107</v>
      </c>
      <c r="B69" s="27">
        <v>91690</v>
      </c>
      <c r="C69" s="84" t="str">
        <f>VLOOKUP(B69,S!$A:$D,2,FALSE)</f>
        <v>SERRA CIRCULAR DE BANCADA COM MOTOR ELÉTRICO POTÊNCIA DE 5HP, COM COIFA PARA DISCO 10" - MANUTENÇÃO. AF_08/2015</v>
      </c>
      <c r="D69" s="84"/>
      <c r="E69" s="84"/>
      <c r="F69" s="85"/>
      <c r="G69" s="6" t="str">
        <f>VLOOKUP(B69,S!$A:$D,3,FALSE)</f>
        <v>H</v>
      </c>
      <c r="H69" s="20"/>
      <c r="I69" s="20">
        <f>J71</f>
        <v>0.06</v>
      </c>
      <c r="J69" s="70"/>
      <c r="K69" s="71"/>
      <c r="L69" s="20">
        <f>VLOOKUP(B69,S!$A:$D,4,FALSE)</f>
        <v>0.06</v>
      </c>
      <c r="M69" s="6" t="str">
        <f>IF(ROUND((L69-I69),2)=0,"OK, confere com a tabela.",IF(ROUND((L69-I69),2)&lt;0,"ACIMA ("&amp;TEXT(ROUND(I69*100/L69,4),"0,0000")&amp;" %) da tabela.","ABAIXO ("&amp;TEXT(ROUND(I69*100/L69,4),"0,0000")&amp;" %) da tabela."))</f>
        <v>OK, confere com a tabela.</v>
      </c>
    </row>
    <row r="70" spans="1:13" ht="45" customHeight="1" x14ac:dyDescent="0.3">
      <c r="A70" s="17" t="s">
        <v>70</v>
      </c>
      <c r="B70" s="19">
        <v>14618</v>
      </c>
      <c r="C70" s="64" t="str">
        <f>VLOOKUP(B70,IF(A70="COMPOSICAO",S!$A:$D,I!$A:$D),2,FALSE)</f>
        <v>SERRA CIRCULAR DE BANCADA COM MOTOR ELETRICO, POTENCIA DE *1600* W, PARA DISCO DE DIAMETRO DE 10" (250 MM)</v>
      </c>
      <c r="D70" s="64"/>
      <c r="E70" s="64"/>
      <c r="F70" s="64"/>
      <c r="G70" s="17" t="str">
        <f>VLOOKUP(B70,IF(A70="COMPOSICAO",S!$A:$D,I!$A:$D),3,FALSE)</f>
        <v>UN</v>
      </c>
      <c r="H70" s="32">
        <v>5.0000000000000002E-5</v>
      </c>
      <c r="I70" s="18">
        <f>IF(A70="COMPOSICAO",VLOOKUP("TOTAL - "&amp;B70,COMPOSICAO_AUX_4!$A:$J,10,FALSE),VLOOKUP(B70,I!$A:$D,4,FALSE))</f>
        <v>1385.85</v>
      </c>
      <c r="J70" s="67">
        <f>TRUNC(H70*I70,2)</f>
        <v>0.06</v>
      </c>
      <c r="K70" s="68"/>
    </row>
    <row r="71" spans="1:13" ht="15" customHeight="1" x14ac:dyDescent="0.3">
      <c r="A71" s="22" t="s">
        <v>129</v>
      </c>
      <c r="B71" s="23"/>
      <c r="C71" s="23"/>
      <c r="D71" s="23"/>
      <c r="E71" s="23"/>
      <c r="F71" s="23"/>
      <c r="G71" s="24"/>
      <c r="H71" s="25"/>
      <c r="I71" s="26"/>
      <c r="J71" s="67">
        <f>SUM(J69:K70)</f>
        <v>0.06</v>
      </c>
      <c r="K71" s="68"/>
    </row>
    <row r="72" spans="1:13" ht="15" customHeight="1" x14ac:dyDescent="0.3">
      <c r="A72" s="3"/>
      <c r="B72" s="3"/>
      <c r="C72" s="3"/>
      <c r="D72" s="3"/>
      <c r="E72" s="3"/>
      <c r="F72" s="3"/>
      <c r="G72" s="3"/>
      <c r="H72" s="3"/>
      <c r="I72" s="3"/>
      <c r="J72" s="3"/>
      <c r="K72" s="3"/>
    </row>
    <row r="73" spans="1:13" ht="15" customHeight="1" x14ac:dyDescent="0.3">
      <c r="A73" s="10" t="s">
        <v>63</v>
      </c>
      <c r="B73" s="10" t="s">
        <v>24</v>
      </c>
      <c r="C73" s="75" t="s">
        <v>8</v>
      </c>
      <c r="D73" s="76"/>
      <c r="E73" s="76"/>
      <c r="F73" s="76"/>
      <c r="G73" s="6" t="s">
        <v>25</v>
      </c>
      <c r="H73" s="6" t="s">
        <v>64</v>
      </c>
      <c r="I73" s="6" t="s">
        <v>65</v>
      </c>
      <c r="J73" s="62" t="s">
        <v>10</v>
      </c>
      <c r="K73" s="63"/>
    </row>
    <row r="74" spans="1:13" ht="45" customHeight="1" x14ac:dyDescent="0.3">
      <c r="A74" s="6" t="s">
        <v>107</v>
      </c>
      <c r="B74" s="27">
        <v>91691</v>
      </c>
      <c r="C74" s="84" t="str">
        <f>VLOOKUP(B74,S!$A:$D,2,FALSE)</f>
        <v>SERRA CIRCULAR DE BANCADA COM MOTOR ELÉTRICO POTÊNCIA DE 5HP, COM COIFA PARA DISCO 10" - MATERIAIS NA OPERAÇÃO. AF_08/2015</v>
      </c>
      <c r="D74" s="84"/>
      <c r="E74" s="84"/>
      <c r="F74" s="85"/>
      <c r="G74" s="6" t="str">
        <f>VLOOKUP(B74,S!$A:$D,3,FALSE)</f>
        <v>H</v>
      </c>
      <c r="H74" s="20"/>
      <c r="I74" s="20">
        <f>J76</f>
        <v>2.4</v>
      </c>
      <c r="J74" s="70"/>
      <c r="K74" s="71"/>
      <c r="L74" s="20">
        <f>VLOOKUP(B74,S!$A:$D,4,FALSE)</f>
        <v>2.4</v>
      </c>
      <c r="M74" s="6" t="str">
        <f>IF(ROUND((L74-I74),2)=0,"OK, confere com a tabela.",IF(ROUND((L74-I74),2)&lt;0,"ACIMA ("&amp;TEXT(ROUND(I74*100/L74,4),"0,0000")&amp;" %) da tabela.","ABAIXO ("&amp;TEXT(ROUND(I74*100/L74,4),"0,0000")&amp;" %) da tabela."))</f>
        <v>OK, confere com a tabela.</v>
      </c>
    </row>
    <row r="75" spans="1:13" ht="30" customHeight="1" x14ac:dyDescent="0.3">
      <c r="A75" s="17" t="s">
        <v>70</v>
      </c>
      <c r="B75" s="19">
        <v>2705</v>
      </c>
      <c r="C75" s="64" t="str">
        <f>VLOOKUP(B75,IF(A75="COMPOSICAO",S!$A:$D,I!$A:$D),2,FALSE)</f>
        <v>ENERGIA ELETRICA ATE 2000 KWH INDUSTRIAL, SEM DEMANDA</v>
      </c>
      <c r="D75" s="64"/>
      <c r="E75" s="64"/>
      <c r="F75" s="64"/>
      <c r="G75" s="17" t="str">
        <f>VLOOKUP(B75,IF(A75="COMPOSICAO",S!$A:$D,I!$A:$D),3,FALSE)</f>
        <v>KW/H</v>
      </c>
      <c r="H75" s="18">
        <v>3.17</v>
      </c>
      <c r="I75" s="18">
        <f>IF(A75="COMPOSICAO",VLOOKUP("TOTAL - "&amp;B75,COMPOSICAO_AUX_4!$A:$J,10,FALSE),VLOOKUP(B75,I!$A:$D,4,FALSE))</f>
        <v>0.76</v>
      </c>
      <c r="J75" s="67">
        <f>TRUNC(H75*I75,2)</f>
        <v>2.4</v>
      </c>
      <c r="K75" s="68"/>
    </row>
    <row r="76" spans="1:13" ht="15" customHeight="1" x14ac:dyDescent="0.3">
      <c r="A76" s="22" t="s">
        <v>130</v>
      </c>
      <c r="B76" s="23"/>
      <c r="C76" s="23"/>
      <c r="D76" s="23"/>
      <c r="E76" s="23"/>
      <c r="F76" s="23"/>
      <c r="G76" s="24"/>
      <c r="H76" s="25"/>
      <c r="I76" s="26"/>
      <c r="J76" s="67">
        <f>SUM(J74:K75)</f>
        <v>2.4</v>
      </c>
      <c r="K76" s="68"/>
    </row>
    <row r="77" spans="1:13" ht="15" customHeight="1" x14ac:dyDescent="0.3">
      <c r="A77" s="3"/>
      <c r="B77" s="3"/>
      <c r="C77" s="3"/>
      <c r="D77" s="3"/>
      <c r="E77" s="3"/>
      <c r="F77" s="3"/>
      <c r="G77" s="3"/>
      <c r="H77" s="3"/>
      <c r="I77" s="3"/>
      <c r="J77" s="3"/>
      <c r="K77" s="3"/>
    </row>
    <row r="78" spans="1:13" ht="15" customHeight="1" x14ac:dyDescent="0.3">
      <c r="A78" s="10" t="s">
        <v>63</v>
      </c>
      <c r="B78" s="10" t="s">
        <v>24</v>
      </c>
      <c r="C78" s="75" t="s">
        <v>8</v>
      </c>
      <c r="D78" s="76"/>
      <c r="E78" s="76"/>
      <c r="F78" s="76"/>
      <c r="G78" s="6" t="s">
        <v>25</v>
      </c>
      <c r="H78" s="6" t="s">
        <v>64</v>
      </c>
      <c r="I78" s="6" t="s">
        <v>65</v>
      </c>
      <c r="J78" s="62" t="s">
        <v>10</v>
      </c>
      <c r="K78" s="63"/>
    </row>
    <row r="79" spans="1:13" ht="30" customHeight="1" x14ac:dyDescent="0.3">
      <c r="A79" s="6" t="s">
        <v>87</v>
      </c>
      <c r="B79" s="27">
        <v>88238</v>
      </c>
      <c r="C79" s="84" t="str">
        <f>VLOOKUP(B79,S!$A:$D,2,FALSE)</f>
        <v>AJUDANTE DE ARMADOR COM ENCARGOS COMPLEMENTARES</v>
      </c>
      <c r="D79" s="84"/>
      <c r="E79" s="84"/>
      <c r="F79" s="85"/>
      <c r="G79" s="6" t="str">
        <f>VLOOKUP(B79,S!$A:$D,3,FALSE)</f>
        <v>H</v>
      </c>
      <c r="H79" s="20"/>
      <c r="I79" s="20">
        <f>J88</f>
        <v>15.19</v>
      </c>
      <c r="J79" s="70"/>
      <c r="K79" s="71"/>
      <c r="L79" s="20">
        <f>VLOOKUP(B79,S!$A:$D,4,FALSE)</f>
        <v>15.19</v>
      </c>
      <c r="M79" s="6" t="str">
        <f>IF(ROUND((L79-I79),2)=0,"OK, confere com a tabela.",IF(ROUND((L79-I79),2)&lt;0,"ACIMA ("&amp;TEXT(ROUND(I79*100/L79,4),"0,0000")&amp;" %) da tabela.","ABAIXO ("&amp;TEXT(ROUND(I79*100/L79,4),"0,0000")&amp;" %) da tabela."))</f>
        <v>OK, confere com a tabela.</v>
      </c>
    </row>
    <row r="80" spans="1:13" ht="15" customHeight="1" x14ac:dyDescent="0.3">
      <c r="A80" s="17" t="s">
        <v>70</v>
      </c>
      <c r="B80" s="19">
        <v>6114</v>
      </c>
      <c r="C80" s="64" t="str">
        <f>VLOOKUP(B80,IF(A80="COMPOSICAO",S!$A:$D,I!$A:$D),2,FALSE)</f>
        <v>AJUDANTE DE ARMADOR</v>
      </c>
      <c r="D80" s="64"/>
      <c r="E80" s="64"/>
      <c r="F80" s="64"/>
      <c r="G80" s="17" t="str">
        <f>VLOOKUP(B80,IF(A80="COMPOSICAO",S!$A:$D,I!$A:$D),3,FALSE)</f>
        <v>H</v>
      </c>
      <c r="H80" s="18">
        <v>1</v>
      </c>
      <c r="I80" s="18">
        <f>IF(A80="COMPOSICAO",VLOOKUP("TOTAL - "&amp;B80,COMPOSICAO_AUX_4!$A:$J,10,FALSE),VLOOKUP(B80,I!$A:$D,4,FALSE))</f>
        <v>10.41</v>
      </c>
      <c r="J80" s="67">
        <f t="shared" ref="J80:J87" si="1">TRUNC(H80*I80,2)</f>
        <v>10.41</v>
      </c>
      <c r="K80" s="68"/>
    </row>
    <row r="81" spans="1:13" ht="15" customHeight="1" x14ac:dyDescent="0.3">
      <c r="A81" s="17" t="s">
        <v>70</v>
      </c>
      <c r="B81" s="19">
        <v>37370</v>
      </c>
      <c r="C81" s="64" t="str">
        <f>VLOOKUP(B81,IF(A81="COMPOSICAO",S!$A:$D,I!$A:$D),2,FALSE)</f>
        <v>ALIMENTACAO - HORISTA (COLETADO CAIXA)</v>
      </c>
      <c r="D81" s="64"/>
      <c r="E81" s="64"/>
      <c r="F81" s="64"/>
      <c r="G81" s="17" t="str">
        <f>VLOOKUP(B81,IF(A81="COMPOSICAO",S!$A:$D,I!$A:$D),3,FALSE)</f>
        <v>H</v>
      </c>
      <c r="H81" s="18">
        <v>1</v>
      </c>
      <c r="I81" s="18">
        <f>IF(A81="COMPOSICAO",VLOOKUP("TOTAL - "&amp;B81,COMPOSICAO_AUX_4!$A:$J,10,FALSE),VLOOKUP(B81,I!$A:$D,4,FALSE))</f>
        <v>1.86</v>
      </c>
      <c r="J81" s="67">
        <f t="shared" si="1"/>
        <v>1.86</v>
      </c>
      <c r="K81" s="68"/>
    </row>
    <row r="82" spans="1:13" ht="15" customHeight="1" x14ac:dyDescent="0.3">
      <c r="A82" s="17" t="s">
        <v>70</v>
      </c>
      <c r="B82" s="19">
        <v>37371</v>
      </c>
      <c r="C82" s="64" t="str">
        <f>VLOOKUP(B82,IF(A82="COMPOSICAO",S!$A:$D,I!$A:$D),2,FALSE)</f>
        <v>TRANSPORTE - HORISTA (COLETADO CAIXA)</v>
      </c>
      <c r="D82" s="64"/>
      <c r="E82" s="64"/>
      <c r="F82" s="64"/>
      <c r="G82" s="17" t="str">
        <f>VLOOKUP(B82,IF(A82="COMPOSICAO",S!$A:$D,I!$A:$D),3,FALSE)</f>
        <v>H</v>
      </c>
      <c r="H82" s="18">
        <v>1</v>
      </c>
      <c r="I82" s="18">
        <f>IF(A82="COMPOSICAO",VLOOKUP("TOTAL - "&amp;B82,COMPOSICAO_AUX_4!$A:$J,10,FALSE),VLOOKUP(B82,I!$A:$D,4,FALSE))</f>
        <v>0.7</v>
      </c>
      <c r="J82" s="67">
        <f t="shared" si="1"/>
        <v>0.7</v>
      </c>
      <c r="K82" s="68"/>
    </row>
    <row r="83" spans="1:13" ht="15" customHeight="1" x14ac:dyDescent="0.3">
      <c r="A83" s="17" t="s">
        <v>70</v>
      </c>
      <c r="B83" s="19">
        <v>37372</v>
      </c>
      <c r="C83" s="64" t="str">
        <f>VLOOKUP(B83,IF(A83="COMPOSICAO",S!$A:$D,I!$A:$D),2,FALSE)</f>
        <v>EXAMES - HORISTA (COLETADO CAIXA)</v>
      </c>
      <c r="D83" s="64"/>
      <c r="E83" s="64"/>
      <c r="F83" s="64"/>
      <c r="G83" s="17" t="str">
        <f>VLOOKUP(B83,IF(A83="COMPOSICAO",S!$A:$D,I!$A:$D),3,FALSE)</f>
        <v>H</v>
      </c>
      <c r="H83" s="18">
        <v>1</v>
      </c>
      <c r="I83" s="18">
        <f>IF(A83="COMPOSICAO",VLOOKUP("TOTAL - "&amp;B83,COMPOSICAO_AUX_4!$A:$J,10,FALSE),VLOOKUP(B83,I!$A:$D,4,FALSE))</f>
        <v>0.55000000000000004</v>
      </c>
      <c r="J83" s="67">
        <f t="shared" si="1"/>
        <v>0.55000000000000004</v>
      </c>
      <c r="K83" s="68"/>
    </row>
    <row r="84" spans="1:13" ht="15" customHeight="1" x14ac:dyDescent="0.3">
      <c r="A84" s="17" t="s">
        <v>70</v>
      </c>
      <c r="B84" s="19">
        <v>37373</v>
      </c>
      <c r="C84" s="64" t="str">
        <f>VLOOKUP(B84,IF(A84="COMPOSICAO",S!$A:$D,I!$A:$D),2,FALSE)</f>
        <v>SEGURO - HORISTA (COLETADO CAIXA)</v>
      </c>
      <c r="D84" s="64"/>
      <c r="E84" s="64"/>
      <c r="F84" s="64"/>
      <c r="G84" s="17" t="str">
        <f>VLOOKUP(B84,IF(A84="COMPOSICAO",S!$A:$D,I!$A:$D),3,FALSE)</f>
        <v>H</v>
      </c>
      <c r="H84" s="18">
        <v>1</v>
      </c>
      <c r="I84" s="18">
        <f>IF(A84="COMPOSICAO",VLOOKUP("TOTAL - "&amp;B84,COMPOSICAO_AUX_4!$A:$J,10,FALSE),VLOOKUP(B84,I!$A:$D,4,FALSE))</f>
        <v>0.06</v>
      </c>
      <c r="J84" s="67">
        <f t="shared" si="1"/>
        <v>0.06</v>
      </c>
      <c r="K84" s="68"/>
    </row>
    <row r="85" spans="1:13" ht="30" customHeight="1" x14ac:dyDescent="0.3">
      <c r="A85" s="17" t="s">
        <v>70</v>
      </c>
      <c r="B85" s="19">
        <v>43465</v>
      </c>
      <c r="C85" s="64" t="str">
        <f>VLOOKUP(B85,IF(A85="COMPOSICAO",S!$A:$D,I!$A:$D),2,FALSE)</f>
        <v>FERRAMENTAS - FAMILIA PEDREIRO - HORISTA (ENCARGOS COMPLEMENTARES - COLETADO CAIXA)</v>
      </c>
      <c r="D85" s="64"/>
      <c r="E85" s="64"/>
      <c r="F85" s="64"/>
      <c r="G85" s="17" t="str">
        <f>VLOOKUP(B85,IF(A85="COMPOSICAO",S!$A:$D,I!$A:$D),3,FALSE)</f>
        <v>H</v>
      </c>
      <c r="H85" s="18">
        <v>1</v>
      </c>
      <c r="I85" s="18">
        <f>IF(A85="COMPOSICAO",VLOOKUP("TOTAL - "&amp;B85,COMPOSICAO_AUX_4!$A:$J,10,FALSE),VLOOKUP(B85,I!$A:$D,4,FALSE))</f>
        <v>0.57999999999999996</v>
      </c>
      <c r="J85" s="67">
        <f t="shared" si="1"/>
        <v>0.57999999999999996</v>
      </c>
      <c r="K85" s="68"/>
    </row>
    <row r="86" spans="1:13" ht="30" customHeight="1" x14ac:dyDescent="0.3">
      <c r="A86" s="17" t="s">
        <v>70</v>
      </c>
      <c r="B86" s="19">
        <v>43489</v>
      </c>
      <c r="C86" s="64" t="str">
        <f>VLOOKUP(B86,IF(A86="COMPOSICAO",S!$A:$D,I!$A:$D),2,FALSE)</f>
        <v>EPI - FAMILIA PEDREIRO - HORISTA (ENCARGOS COMPLEMENTARES - COLETADO CAIXA)</v>
      </c>
      <c r="D86" s="64"/>
      <c r="E86" s="64"/>
      <c r="F86" s="64"/>
      <c r="G86" s="17" t="str">
        <f>VLOOKUP(B86,IF(A86="COMPOSICAO",S!$A:$D,I!$A:$D),3,FALSE)</f>
        <v>H</v>
      </c>
      <c r="H86" s="18">
        <v>1</v>
      </c>
      <c r="I86" s="18">
        <f>IF(A86="COMPOSICAO",VLOOKUP("TOTAL - "&amp;B86,COMPOSICAO_AUX_4!$A:$J,10,FALSE),VLOOKUP(B86,I!$A:$D,4,FALSE))</f>
        <v>0.95</v>
      </c>
      <c r="J86" s="67">
        <f t="shared" si="1"/>
        <v>0.95</v>
      </c>
      <c r="K86" s="68"/>
    </row>
    <row r="87" spans="1:13" ht="30" customHeight="1" x14ac:dyDescent="0.3">
      <c r="A87" s="17" t="s">
        <v>71</v>
      </c>
      <c r="B87" s="19">
        <v>95308</v>
      </c>
      <c r="C87" s="64" t="str">
        <f>VLOOKUP(B87,IF(A87="COMPOSICAO",S!$A:$D,I!$A:$D),2,FALSE)</f>
        <v>CURSO DE CAPACITAÇÃO PARA AJUDANTE DE ARMADOR (ENCARGOS COMPLEMENTARES) - HORISTA</v>
      </c>
      <c r="D87" s="64"/>
      <c r="E87" s="64"/>
      <c r="F87" s="64"/>
      <c r="G87" s="17" t="str">
        <f>VLOOKUP(B87,IF(A87="COMPOSICAO",S!$A:$D,I!$A:$D),3,FALSE)</f>
        <v>H</v>
      </c>
      <c r="H87" s="18">
        <v>1</v>
      </c>
      <c r="I87" s="18">
        <f>IF(A87="COMPOSICAO",VLOOKUP("TOTAL - "&amp;B87,COMPOSICAO_AUX_4!$A:$J,10,FALSE),VLOOKUP(B87,I!$A:$D,4,FALSE))</f>
        <v>0.08</v>
      </c>
      <c r="J87" s="67">
        <f t="shared" si="1"/>
        <v>0.08</v>
      </c>
      <c r="K87" s="68"/>
    </row>
    <row r="88" spans="1:13" ht="15" customHeight="1" x14ac:dyDescent="0.3">
      <c r="A88" s="22" t="s">
        <v>131</v>
      </c>
      <c r="B88" s="23"/>
      <c r="C88" s="23"/>
      <c r="D88" s="23"/>
      <c r="E88" s="23"/>
      <c r="F88" s="23"/>
      <c r="G88" s="24"/>
      <c r="H88" s="25"/>
      <c r="I88" s="26"/>
      <c r="J88" s="67">
        <f>SUM(J79:K87)</f>
        <v>15.19</v>
      </c>
      <c r="K88" s="68"/>
    </row>
    <row r="89" spans="1:13" ht="15" customHeight="1" x14ac:dyDescent="0.3">
      <c r="A89" s="3"/>
      <c r="B89" s="3"/>
      <c r="C89" s="3"/>
      <c r="D89" s="3"/>
      <c r="E89" s="3"/>
      <c r="F89" s="3"/>
      <c r="G89" s="3"/>
      <c r="H89" s="3"/>
      <c r="I89" s="3"/>
      <c r="J89" s="3"/>
      <c r="K89" s="3"/>
    </row>
    <row r="90" spans="1:13" ht="15" customHeight="1" x14ac:dyDescent="0.3">
      <c r="A90" s="10" t="s">
        <v>63</v>
      </c>
      <c r="B90" s="10" t="s">
        <v>24</v>
      </c>
      <c r="C90" s="75" t="s">
        <v>8</v>
      </c>
      <c r="D90" s="76"/>
      <c r="E90" s="76"/>
      <c r="F90" s="76"/>
      <c r="G90" s="6" t="s">
        <v>25</v>
      </c>
      <c r="H90" s="6" t="s">
        <v>64</v>
      </c>
      <c r="I90" s="6" t="s">
        <v>65</v>
      </c>
      <c r="J90" s="62" t="s">
        <v>10</v>
      </c>
      <c r="K90" s="63"/>
    </row>
    <row r="91" spans="1:13" ht="15" customHeight="1" x14ac:dyDescent="0.3">
      <c r="A91" s="6" t="s">
        <v>87</v>
      </c>
      <c r="B91" s="27">
        <v>88245</v>
      </c>
      <c r="C91" s="84" t="str">
        <f>VLOOKUP(B91,S!$A:$D,2,FALSE)</f>
        <v>ARMADOR COM ENCARGOS COMPLEMENTARES</v>
      </c>
      <c r="D91" s="84"/>
      <c r="E91" s="84"/>
      <c r="F91" s="85"/>
      <c r="G91" s="6" t="str">
        <f>VLOOKUP(B91,S!$A:$D,3,FALSE)</f>
        <v>H</v>
      </c>
      <c r="H91" s="20"/>
      <c r="I91" s="20">
        <f>J100</f>
        <v>19.749999999999996</v>
      </c>
      <c r="J91" s="70"/>
      <c r="K91" s="71"/>
      <c r="L91" s="20">
        <f>VLOOKUP(B91,S!$A:$D,4,FALSE)</f>
        <v>19.75</v>
      </c>
      <c r="M91" s="6" t="str">
        <f>IF(ROUND((L91-I91),2)=0,"OK, confere com a tabela.",IF(ROUND((L91-I91),2)&lt;0,"ACIMA ("&amp;TEXT(ROUND(I91*100/L91,4),"0,0000")&amp;" %) da tabela.","ABAIXO ("&amp;TEXT(ROUND(I91*100/L91,4),"0,0000")&amp;" %) da tabela."))</f>
        <v>OK, confere com a tabela.</v>
      </c>
    </row>
    <row r="92" spans="1:13" ht="15" customHeight="1" x14ac:dyDescent="0.3">
      <c r="A92" s="17" t="s">
        <v>70</v>
      </c>
      <c r="B92" s="19">
        <v>378</v>
      </c>
      <c r="C92" s="64" t="str">
        <f>VLOOKUP(B92,IF(A92="COMPOSICAO",S!$A:$D,I!$A:$D),2,FALSE)</f>
        <v>ARMADOR</v>
      </c>
      <c r="D92" s="64"/>
      <c r="E92" s="64"/>
      <c r="F92" s="64"/>
      <c r="G92" s="17" t="str">
        <f>VLOOKUP(B92,IF(A92="COMPOSICAO",S!$A:$D,I!$A:$D),3,FALSE)</f>
        <v>H</v>
      </c>
      <c r="H92" s="18">
        <v>1</v>
      </c>
      <c r="I92" s="18">
        <f>IF(A92="COMPOSICAO",VLOOKUP("TOTAL - "&amp;B92,COMPOSICAO_AUX_4!$A:$J,10,FALSE),VLOOKUP(B92,I!$A:$D,4,FALSE))</f>
        <v>14.93</v>
      </c>
      <c r="J92" s="67">
        <f t="shared" ref="J92:J99" si="2">TRUNC(H92*I92,2)</f>
        <v>14.93</v>
      </c>
      <c r="K92" s="68"/>
    </row>
    <row r="93" spans="1:13" ht="15" customHeight="1" x14ac:dyDescent="0.3">
      <c r="A93" s="17" t="s">
        <v>70</v>
      </c>
      <c r="B93" s="19">
        <v>37370</v>
      </c>
      <c r="C93" s="64" t="str">
        <f>VLOOKUP(B93,IF(A93="COMPOSICAO",S!$A:$D,I!$A:$D),2,FALSE)</f>
        <v>ALIMENTACAO - HORISTA (COLETADO CAIXA)</v>
      </c>
      <c r="D93" s="64"/>
      <c r="E93" s="64"/>
      <c r="F93" s="64"/>
      <c r="G93" s="17" t="str">
        <f>VLOOKUP(B93,IF(A93="COMPOSICAO",S!$A:$D,I!$A:$D),3,FALSE)</f>
        <v>H</v>
      </c>
      <c r="H93" s="18">
        <v>1</v>
      </c>
      <c r="I93" s="18">
        <f>IF(A93="COMPOSICAO",VLOOKUP("TOTAL - "&amp;B93,COMPOSICAO_AUX_4!$A:$J,10,FALSE),VLOOKUP(B93,I!$A:$D,4,FALSE))</f>
        <v>1.86</v>
      </c>
      <c r="J93" s="67">
        <f t="shared" si="2"/>
        <v>1.86</v>
      </c>
      <c r="K93" s="68"/>
    </row>
    <row r="94" spans="1:13" ht="15" customHeight="1" x14ac:dyDescent="0.3">
      <c r="A94" s="17" t="s">
        <v>70</v>
      </c>
      <c r="B94" s="19">
        <v>37371</v>
      </c>
      <c r="C94" s="64" t="str">
        <f>VLOOKUP(B94,IF(A94="COMPOSICAO",S!$A:$D,I!$A:$D),2,FALSE)</f>
        <v>TRANSPORTE - HORISTA (COLETADO CAIXA)</v>
      </c>
      <c r="D94" s="64"/>
      <c r="E94" s="64"/>
      <c r="F94" s="64"/>
      <c r="G94" s="17" t="str">
        <f>VLOOKUP(B94,IF(A94="COMPOSICAO",S!$A:$D,I!$A:$D),3,FALSE)</f>
        <v>H</v>
      </c>
      <c r="H94" s="18">
        <v>1</v>
      </c>
      <c r="I94" s="18">
        <f>IF(A94="COMPOSICAO",VLOOKUP("TOTAL - "&amp;B94,COMPOSICAO_AUX_4!$A:$J,10,FALSE),VLOOKUP(B94,I!$A:$D,4,FALSE))</f>
        <v>0.7</v>
      </c>
      <c r="J94" s="67">
        <f t="shared" si="2"/>
        <v>0.7</v>
      </c>
      <c r="K94" s="68"/>
    </row>
    <row r="95" spans="1:13" ht="15" customHeight="1" x14ac:dyDescent="0.3">
      <c r="A95" s="17" t="s">
        <v>70</v>
      </c>
      <c r="B95" s="19">
        <v>37372</v>
      </c>
      <c r="C95" s="64" t="str">
        <f>VLOOKUP(B95,IF(A95="COMPOSICAO",S!$A:$D,I!$A:$D),2,FALSE)</f>
        <v>EXAMES - HORISTA (COLETADO CAIXA)</v>
      </c>
      <c r="D95" s="64"/>
      <c r="E95" s="64"/>
      <c r="F95" s="64"/>
      <c r="G95" s="17" t="str">
        <f>VLOOKUP(B95,IF(A95="COMPOSICAO",S!$A:$D,I!$A:$D),3,FALSE)</f>
        <v>H</v>
      </c>
      <c r="H95" s="18">
        <v>1</v>
      </c>
      <c r="I95" s="18">
        <f>IF(A95="COMPOSICAO",VLOOKUP("TOTAL - "&amp;B95,COMPOSICAO_AUX_4!$A:$J,10,FALSE),VLOOKUP(B95,I!$A:$D,4,FALSE))</f>
        <v>0.55000000000000004</v>
      </c>
      <c r="J95" s="67">
        <f t="shared" si="2"/>
        <v>0.55000000000000004</v>
      </c>
      <c r="K95" s="68"/>
    </row>
    <row r="96" spans="1:13" ht="15" customHeight="1" x14ac:dyDescent="0.3">
      <c r="A96" s="17" t="s">
        <v>70</v>
      </c>
      <c r="B96" s="19">
        <v>37373</v>
      </c>
      <c r="C96" s="64" t="str">
        <f>VLOOKUP(B96,IF(A96="COMPOSICAO",S!$A:$D,I!$A:$D),2,FALSE)</f>
        <v>SEGURO - HORISTA (COLETADO CAIXA)</v>
      </c>
      <c r="D96" s="64"/>
      <c r="E96" s="64"/>
      <c r="F96" s="64"/>
      <c r="G96" s="17" t="str">
        <f>VLOOKUP(B96,IF(A96="COMPOSICAO",S!$A:$D,I!$A:$D),3,FALSE)</f>
        <v>H</v>
      </c>
      <c r="H96" s="18">
        <v>1</v>
      </c>
      <c r="I96" s="18">
        <f>IF(A96="COMPOSICAO",VLOOKUP("TOTAL - "&amp;B96,COMPOSICAO_AUX_4!$A:$J,10,FALSE),VLOOKUP(B96,I!$A:$D,4,FALSE))</f>
        <v>0.06</v>
      </c>
      <c r="J96" s="67">
        <f t="shared" si="2"/>
        <v>0.06</v>
      </c>
      <c r="K96" s="68"/>
    </row>
    <row r="97" spans="1:13" ht="30" customHeight="1" x14ac:dyDescent="0.3">
      <c r="A97" s="17" t="s">
        <v>70</v>
      </c>
      <c r="B97" s="19">
        <v>43465</v>
      </c>
      <c r="C97" s="64" t="str">
        <f>VLOOKUP(B97,IF(A97="COMPOSICAO",S!$A:$D,I!$A:$D),2,FALSE)</f>
        <v>FERRAMENTAS - FAMILIA PEDREIRO - HORISTA (ENCARGOS COMPLEMENTARES - COLETADO CAIXA)</v>
      </c>
      <c r="D97" s="64"/>
      <c r="E97" s="64"/>
      <c r="F97" s="64"/>
      <c r="G97" s="17" t="str">
        <f>VLOOKUP(B97,IF(A97="COMPOSICAO",S!$A:$D,I!$A:$D),3,FALSE)</f>
        <v>H</v>
      </c>
      <c r="H97" s="18">
        <v>1</v>
      </c>
      <c r="I97" s="18">
        <f>IF(A97="COMPOSICAO",VLOOKUP("TOTAL - "&amp;B97,COMPOSICAO_AUX_4!$A:$J,10,FALSE),VLOOKUP(B97,I!$A:$D,4,FALSE))</f>
        <v>0.57999999999999996</v>
      </c>
      <c r="J97" s="67">
        <f t="shared" si="2"/>
        <v>0.57999999999999996</v>
      </c>
      <c r="K97" s="68"/>
    </row>
    <row r="98" spans="1:13" ht="30" customHeight="1" x14ac:dyDescent="0.3">
      <c r="A98" s="17" t="s">
        <v>70</v>
      </c>
      <c r="B98" s="19">
        <v>43489</v>
      </c>
      <c r="C98" s="64" t="str">
        <f>VLOOKUP(B98,IF(A98="COMPOSICAO",S!$A:$D,I!$A:$D),2,FALSE)</f>
        <v>EPI - FAMILIA PEDREIRO - HORISTA (ENCARGOS COMPLEMENTARES - COLETADO CAIXA)</v>
      </c>
      <c r="D98" s="64"/>
      <c r="E98" s="64"/>
      <c r="F98" s="64"/>
      <c r="G98" s="17" t="str">
        <f>VLOOKUP(B98,IF(A98="COMPOSICAO",S!$A:$D,I!$A:$D),3,FALSE)</f>
        <v>H</v>
      </c>
      <c r="H98" s="18">
        <v>1</v>
      </c>
      <c r="I98" s="18">
        <f>IF(A98="COMPOSICAO",VLOOKUP("TOTAL - "&amp;B98,COMPOSICAO_AUX_4!$A:$J,10,FALSE),VLOOKUP(B98,I!$A:$D,4,FALSE))</f>
        <v>0.95</v>
      </c>
      <c r="J98" s="67">
        <f t="shared" si="2"/>
        <v>0.95</v>
      </c>
      <c r="K98" s="68"/>
    </row>
    <row r="99" spans="1:13" ht="30" customHeight="1" x14ac:dyDescent="0.3">
      <c r="A99" s="17" t="s">
        <v>71</v>
      </c>
      <c r="B99" s="19">
        <v>95314</v>
      </c>
      <c r="C99" s="64" t="str">
        <f>VLOOKUP(B99,IF(A99="COMPOSICAO",S!$A:$D,I!$A:$D),2,FALSE)</f>
        <v>CURSO DE CAPACITAÇÃO PARA ARMADOR (ENCARGOS COMPLEMENTARES) - HORISTA</v>
      </c>
      <c r="D99" s="64"/>
      <c r="E99" s="64"/>
      <c r="F99" s="64"/>
      <c r="G99" s="17" t="str">
        <f>VLOOKUP(B99,IF(A99="COMPOSICAO",S!$A:$D,I!$A:$D),3,FALSE)</f>
        <v>H</v>
      </c>
      <c r="H99" s="18">
        <v>1</v>
      </c>
      <c r="I99" s="18">
        <f>IF(A99="COMPOSICAO",VLOOKUP("TOTAL - "&amp;B99,COMPOSICAO_AUX_4!$A:$J,10,FALSE),VLOOKUP(B99,I!$A:$D,4,FALSE))</f>
        <v>0.12</v>
      </c>
      <c r="J99" s="67">
        <f t="shared" si="2"/>
        <v>0.12</v>
      </c>
      <c r="K99" s="68"/>
    </row>
    <row r="100" spans="1:13" ht="15" customHeight="1" x14ac:dyDescent="0.3">
      <c r="A100" s="22" t="s">
        <v>132</v>
      </c>
      <c r="B100" s="23"/>
      <c r="C100" s="23"/>
      <c r="D100" s="23"/>
      <c r="E100" s="23"/>
      <c r="F100" s="23"/>
      <c r="G100" s="24"/>
      <c r="H100" s="25"/>
      <c r="I100" s="26"/>
      <c r="J100" s="67">
        <f>SUM(J91:K99)</f>
        <v>19.749999999999996</v>
      </c>
      <c r="K100" s="68"/>
    </row>
    <row r="101" spans="1:13" ht="15" customHeight="1" x14ac:dyDescent="0.3">
      <c r="A101" s="3"/>
      <c r="B101" s="3"/>
      <c r="C101" s="3"/>
      <c r="D101" s="3"/>
      <c r="E101" s="3"/>
      <c r="F101" s="3"/>
      <c r="G101" s="3"/>
      <c r="H101" s="3"/>
      <c r="I101" s="3"/>
      <c r="J101" s="3"/>
      <c r="K101" s="3"/>
    </row>
    <row r="102" spans="1:13" ht="15" customHeight="1" x14ac:dyDescent="0.3">
      <c r="A102" s="10" t="s">
        <v>63</v>
      </c>
      <c r="B102" s="10" t="s">
        <v>24</v>
      </c>
      <c r="C102" s="75" t="s">
        <v>8</v>
      </c>
      <c r="D102" s="76"/>
      <c r="E102" s="76"/>
      <c r="F102" s="76"/>
      <c r="G102" s="6" t="s">
        <v>25</v>
      </c>
      <c r="H102" s="6" t="s">
        <v>64</v>
      </c>
      <c r="I102" s="6" t="s">
        <v>65</v>
      </c>
      <c r="J102" s="62" t="s">
        <v>10</v>
      </c>
      <c r="K102" s="63"/>
    </row>
    <row r="103" spans="1:13" ht="30" customHeight="1" x14ac:dyDescent="0.3">
      <c r="A103" s="6" t="s">
        <v>92</v>
      </c>
      <c r="B103" s="27">
        <v>92799</v>
      </c>
      <c r="C103" s="84" t="str">
        <f>VLOOKUP(B103,S!$A:$D,2,FALSE)</f>
        <v>CORTE E DOBRA DE AÇO CA-60, DIÂMETRO DE 4,2 MM, UTILIZADO EM LAJE. AF_12/2015</v>
      </c>
      <c r="D103" s="84"/>
      <c r="E103" s="84"/>
      <c r="F103" s="85"/>
      <c r="G103" s="6" t="str">
        <f>VLOOKUP(B103,S!$A:$D,3,FALSE)</f>
        <v>KG</v>
      </c>
      <c r="H103" s="20"/>
      <c r="I103" s="20">
        <f>J107</f>
        <v>10.219999999999999</v>
      </c>
      <c r="J103" s="70"/>
      <c r="K103" s="71"/>
      <c r="L103" s="20">
        <f>VLOOKUP(B103,S!$A:$D,4,FALSE)</f>
        <v>10.220000000000001</v>
      </c>
      <c r="M103" s="6" t="str">
        <f>IF(ROUND((L103-I103),2)=0,"OK, confere com a tabela.",IF(ROUND((L103-I103),2)&lt;0,"ACIMA ("&amp;TEXT(ROUND(I103*100/L103,4),"0,0000")&amp;" %) da tabela.","ABAIXO ("&amp;TEXT(ROUND(I103*100/L103,4),"0,0000")&amp;" %) da tabela."))</f>
        <v>OK, confere com a tabela.</v>
      </c>
    </row>
    <row r="104" spans="1:13" ht="30" customHeight="1" x14ac:dyDescent="0.3">
      <c r="A104" s="17" t="s">
        <v>70</v>
      </c>
      <c r="B104" s="19">
        <v>43059</v>
      </c>
      <c r="C104" s="64" t="str">
        <f>VLOOKUP(B104,IF(A104="COMPOSICAO",S!$A:$D,I!$A:$D),2,FALSE)</f>
        <v>ACO CA-60, 4,2 MM, OU 5,0 MM, OU 6,0 MM, OU 7,0 MM, VERGALHAO</v>
      </c>
      <c r="D104" s="64"/>
      <c r="E104" s="64"/>
      <c r="F104" s="64"/>
      <c r="G104" s="17" t="str">
        <f>VLOOKUP(B104,IF(A104="COMPOSICAO",S!$A:$D,I!$A:$D),3,FALSE)</f>
        <v>KG</v>
      </c>
      <c r="H104" s="18">
        <v>1.07</v>
      </c>
      <c r="I104" s="18">
        <f>IF(A104="COMPOSICAO",VLOOKUP("TOTAL - "&amp;B104,COMPOSICAO_AUX_4!$A:$J,10,FALSE),VLOOKUP(B104,I!$A:$D,4,FALSE))</f>
        <v>7.66</v>
      </c>
      <c r="J104" s="67">
        <f>TRUNC(H104*I104,2)</f>
        <v>8.19</v>
      </c>
      <c r="K104" s="68"/>
    </row>
    <row r="105" spans="1:13" ht="30" customHeight="1" x14ac:dyDescent="0.3">
      <c r="A105" s="17" t="s">
        <v>71</v>
      </c>
      <c r="B105" s="19">
        <v>88238</v>
      </c>
      <c r="C105" s="64" t="str">
        <f>VLOOKUP(B105,IF(A105="COMPOSICAO",S!$A:$D,I!$A:$D),2,FALSE)</f>
        <v>AJUDANTE DE ARMADOR COM ENCARGOS COMPLEMENTARES</v>
      </c>
      <c r="D105" s="64"/>
      <c r="E105" s="64"/>
      <c r="F105" s="64"/>
      <c r="G105" s="17" t="str">
        <f>VLOOKUP(B105,IF(A105="COMPOSICAO",S!$A:$D,I!$A:$D),3,FALSE)</f>
        <v>H</v>
      </c>
      <c r="H105" s="29">
        <v>1.3100000000000001E-2</v>
      </c>
      <c r="I105" s="18">
        <f>IF(A105="COMPOSICAO",VLOOKUP("TOTAL - "&amp;B105,COMPOSICAO_AUX_4!$A:$J,10,FALSE),VLOOKUP(B105,I!$A:$D,4,FALSE))</f>
        <v>15.19</v>
      </c>
      <c r="J105" s="67">
        <f>TRUNC(H105*I105,2)</f>
        <v>0.19</v>
      </c>
      <c r="K105" s="68"/>
    </row>
    <row r="106" spans="1:13" ht="15" customHeight="1" x14ac:dyDescent="0.3">
      <c r="A106" s="17" t="s">
        <v>71</v>
      </c>
      <c r="B106" s="19">
        <v>88245</v>
      </c>
      <c r="C106" s="64" t="str">
        <f>VLOOKUP(B106,IF(A106="COMPOSICAO",S!$A:$D,I!$A:$D),2,FALSE)</f>
        <v>ARMADOR COM ENCARGOS COMPLEMENTARES</v>
      </c>
      <c r="D106" s="64"/>
      <c r="E106" s="64"/>
      <c r="F106" s="64"/>
      <c r="G106" s="17" t="str">
        <f>VLOOKUP(B106,IF(A106="COMPOSICAO",S!$A:$D,I!$A:$D),3,FALSE)</f>
        <v>H</v>
      </c>
      <c r="H106" s="29">
        <v>9.3299999999999994E-2</v>
      </c>
      <c r="I106" s="18">
        <f>IF(A106="COMPOSICAO",VLOOKUP("TOTAL - "&amp;B106,COMPOSICAO_AUX_4!$A:$J,10,FALSE),VLOOKUP(B106,I!$A:$D,4,FALSE))</f>
        <v>19.749999999999996</v>
      </c>
      <c r="J106" s="67">
        <f>TRUNC(H106*I106,2)</f>
        <v>1.84</v>
      </c>
      <c r="K106" s="68"/>
    </row>
    <row r="107" spans="1:13" ht="15" customHeight="1" x14ac:dyDescent="0.3">
      <c r="A107" s="22" t="s">
        <v>133</v>
      </c>
      <c r="B107" s="23"/>
      <c r="C107" s="23"/>
      <c r="D107" s="23"/>
      <c r="E107" s="23"/>
      <c r="F107" s="23"/>
      <c r="G107" s="24"/>
      <c r="H107" s="25"/>
      <c r="I107" s="26"/>
      <c r="J107" s="67">
        <f>SUM(J103:K106)</f>
        <v>10.219999999999999</v>
      </c>
      <c r="K107" s="68"/>
    </row>
    <row r="108" spans="1:13" ht="15" customHeight="1" x14ac:dyDescent="0.3">
      <c r="A108" s="3"/>
      <c r="B108" s="3"/>
      <c r="C108" s="3"/>
      <c r="D108" s="3"/>
      <c r="E108" s="3"/>
      <c r="F108" s="3"/>
      <c r="G108" s="3"/>
      <c r="H108" s="3"/>
      <c r="I108" s="3"/>
      <c r="J108" s="3"/>
      <c r="K108" s="3"/>
    </row>
    <row r="109" spans="1:13" ht="15" customHeight="1" x14ac:dyDescent="0.3">
      <c r="A109" s="10" t="s">
        <v>63</v>
      </c>
      <c r="B109" s="10" t="s">
        <v>24</v>
      </c>
      <c r="C109" s="75" t="s">
        <v>8</v>
      </c>
      <c r="D109" s="76"/>
      <c r="E109" s="76"/>
      <c r="F109" s="76"/>
      <c r="G109" s="6" t="s">
        <v>25</v>
      </c>
      <c r="H109" s="6" t="s">
        <v>64</v>
      </c>
      <c r="I109" s="6" t="s">
        <v>65</v>
      </c>
      <c r="J109" s="62" t="s">
        <v>10</v>
      </c>
      <c r="K109" s="63"/>
    </row>
    <row r="110" spans="1:13" ht="15" customHeight="1" x14ac:dyDescent="0.3">
      <c r="A110" s="6" t="s">
        <v>87</v>
      </c>
      <c r="B110" s="27">
        <v>88316</v>
      </c>
      <c r="C110" s="84" t="str">
        <f>VLOOKUP(B110,S!$A:$D,2,FALSE)</f>
        <v>SERVENTE COM ENCARGOS COMPLEMENTARES</v>
      </c>
      <c r="D110" s="84"/>
      <c r="E110" s="84"/>
      <c r="F110" s="85"/>
      <c r="G110" s="6" t="str">
        <f>VLOOKUP(B110,S!$A:$D,3,FALSE)</f>
        <v>H</v>
      </c>
      <c r="H110" s="20"/>
      <c r="I110" s="20">
        <f>J119</f>
        <v>15.35</v>
      </c>
      <c r="J110" s="70"/>
      <c r="K110" s="71"/>
      <c r="L110" s="20">
        <f>VLOOKUP(B110,S!$A:$D,4,FALSE)</f>
        <v>15.35</v>
      </c>
      <c r="M110" s="6" t="str">
        <f>IF(ROUND((L110-I110),2)=0,"OK, confere com a tabela.",IF(ROUND((L110-I110),2)&lt;0,"ACIMA ("&amp;TEXT(ROUND(I110*100/L110,4),"0,0000")&amp;" %) da tabela.","ABAIXO ("&amp;TEXT(ROUND(I110*100/L110,4),"0,0000")&amp;" %) da tabela."))</f>
        <v>OK, confere com a tabela.</v>
      </c>
    </row>
    <row r="111" spans="1:13" ht="15" customHeight="1" x14ac:dyDescent="0.3">
      <c r="A111" s="17" t="s">
        <v>70</v>
      </c>
      <c r="B111" s="19">
        <v>6111</v>
      </c>
      <c r="C111" s="64" t="str">
        <f>VLOOKUP(B111,IF(A111="COMPOSICAO",S!$A:$D,I!$A:$D),2,FALSE)</f>
        <v>SERVENTE DE OBRAS</v>
      </c>
      <c r="D111" s="64"/>
      <c r="E111" s="64"/>
      <c r="F111" s="64"/>
      <c r="G111" s="17" t="str">
        <f>VLOOKUP(B111,IF(A111="COMPOSICAO",S!$A:$D,I!$A:$D),3,FALSE)</f>
        <v>H</v>
      </c>
      <c r="H111" s="18">
        <v>1</v>
      </c>
      <c r="I111" s="18">
        <f>IF(A111="COMPOSICAO",VLOOKUP("TOTAL - "&amp;B111,COMPOSICAO_AUX_4!$A:$J,10,FALSE),VLOOKUP(B111,I!$A:$D,4,FALSE))</f>
        <v>10.6</v>
      </c>
      <c r="J111" s="67">
        <f t="shared" ref="J111:J118" si="3">TRUNC(H111*I111,2)</f>
        <v>10.6</v>
      </c>
      <c r="K111" s="68"/>
    </row>
    <row r="112" spans="1:13" ht="15" customHeight="1" x14ac:dyDescent="0.3">
      <c r="A112" s="17" t="s">
        <v>70</v>
      </c>
      <c r="B112" s="19">
        <v>37370</v>
      </c>
      <c r="C112" s="64" t="str">
        <f>VLOOKUP(B112,IF(A112="COMPOSICAO",S!$A:$D,I!$A:$D),2,FALSE)</f>
        <v>ALIMENTACAO - HORISTA (COLETADO CAIXA)</v>
      </c>
      <c r="D112" s="64"/>
      <c r="E112" s="64"/>
      <c r="F112" s="64"/>
      <c r="G112" s="17" t="str">
        <f>VLOOKUP(B112,IF(A112="COMPOSICAO",S!$A:$D,I!$A:$D),3,FALSE)</f>
        <v>H</v>
      </c>
      <c r="H112" s="18">
        <v>1</v>
      </c>
      <c r="I112" s="18">
        <f>IF(A112="COMPOSICAO",VLOOKUP("TOTAL - "&amp;B112,COMPOSICAO_AUX_4!$A:$J,10,FALSE),VLOOKUP(B112,I!$A:$D,4,FALSE))</f>
        <v>1.86</v>
      </c>
      <c r="J112" s="67">
        <f t="shared" si="3"/>
        <v>1.86</v>
      </c>
      <c r="K112" s="68"/>
    </row>
    <row r="113" spans="1:13" ht="15" customHeight="1" x14ac:dyDescent="0.3">
      <c r="A113" s="17" t="s">
        <v>70</v>
      </c>
      <c r="B113" s="19">
        <v>37371</v>
      </c>
      <c r="C113" s="64" t="str">
        <f>VLOOKUP(B113,IF(A113="COMPOSICAO",S!$A:$D,I!$A:$D),2,FALSE)</f>
        <v>TRANSPORTE - HORISTA (COLETADO CAIXA)</v>
      </c>
      <c r="D113" s="64"/>
      <c r="E113" s="64"/>
      <c r="F113" s="64"/>
      <c r="G113" s="17" t="str">
        <f>VLOOKUP(B113,IF(A113="COMPOSICAO",S!$A:$D,I!$A:$D),3,FALSE)</f>
        <v>H</v>
      </c>
      <c r="H113" s="18">
        <v>1</v>
      </c>
      <c r="I113" s="18">
        <f>IF(A113="COMPOSICAO",VLOOKUP("TOTAL - "&amp;B113,COMPOSICAO_AUX_4!$A:$J,10,FALSE),VLOOKUP(B113,I!$A:$D,4,FALSE))</f>
        <v>0.7</v>
      </c>
      <c r="J113" s="67">
        <f t="shared" si="3"/>
        <v>0.7</v>
      </c>
      <c r="K113" s="68"/>
    </row>
    <row r="114" spans="1:13" ht="15" customHeight="1" x14ac:dyDescent="0.3">
      <c r="A114" s="17" t="s">
        <v>70</v>
      </c>
      <c r="B114" s="19">
        <v>37372</v>
      </c>
      <c r="C114" s="64" t="str">
        <f>VLOOKUP(B114,IF(A114="COMPOSICAO",S!$A:$D,I!$A:$D),2,FALSE)</f>
        <v>EXAMES - HORISTA (COLETADO CAIXA)</v>
      </c>
      <c r="D114" s="64"/>
      <c r="E114" s="64"/>
      <c r="F114" s="64"/>
      <c r="G114" s="17" t="str">
        <f>VLOOKUP(B114,IF(A114="COMPOSICAO",S!$A:$D,I!$A:$D),3,FALSE)</f>
        <v>H</v>
      </c>
      <c r="H114" s="18">
        <v>1</v>
      </c>
      <c r="I114" s="18">
        <f>IF(A114="COMPOSICAO",VLOOKUP("TOTAL - "&amp;B114,COMPOSICAO_AUX_4!$A:$J,10,FALSE),VLOOKUP(B114,I!$A:$D,4,FALSE))</f>
        <v>0.55000000000000004</v>
      </c>
      <c r="J114" s="67">
        <f t="shared" si="3"/>
        <v>0.55000000000000004</v>
      </c>
      <c r="K114" s="68"/>
    </row>
    <row r="115" spans="1:13" ht="15" customHeight="1" x14ac:dyDescent="0.3">
      <c r="A115" s="17" t="s">
        <v>70</v>
      </c>
      <c r="B115" s="19">
        <v>37373</v>
      </c>
      <c r="C115" s="64" t="str">
        <f>VLOOKUP(B115,IF(A115="COMPOSICAO",S!$A:$D,I!$A:$D),2,FALSE)</f>
        <v>SEGURO - HORISTA (COLETADO CAIXA)</v>
      </c>
      <c r="D115" s="64"/>
      <c r="E115" s="64"/>
      <c r="F115" s="64"/>
      <c r="G115" s="17" t="str">
        <f>VLOOKUP(B115,IF(A115="COMPOSICAO",S!$A:$D,I!$A:$D),3,FALSE)</f>
        <v>H</v>
      </c>
      <c r="H115" s="18">
        <v>1</v>
      </c>
      <c r="I115" s="18">
        <f>IF(A115="COMPOSICAO",VLOOKUP("TOTAL - "&amp;B115,COMPOSICAO_AUX_4!$A:$J,10,FALSE),VLOOKUP(B115,I!$A:$D,4,FALSE))</f>
        <v>0.06</v>
      </c>
      <c r="J115" s="67">
        <f t="shared" si="3"/>
        <v>0.06</v>
      </c>
      <c r="K115" s="68"/>
    </row>
    <row r="116" spans="1:13" ht="30" customHeight="1" x14ac:dyDescent="0.3">
      <c r="A116" s="17" t="s">
        <v>70</v>
      </c>
      <c r="B116" s="19">
        <v>43467</v>
      </c>
      <c r="C116" s="64" t="str">
        <f>VLOOKUP(B116,IF(A116="COMPOSICAO",S!$A:$D,I!$A:$D),2,FALSE)</f>
        <v>FERRAMENTAS - FAMILIA SERVENTE - HORISTA (ENCARGOS COMPLEMENTARES - COLETADO CAIXA)</v>
      </c>
      <c r="D116" s="64"/>
      <c r="E116" s="64"/>
      <c r="F116" s="64"/>
      <c r="G116" s="17" t="str">
        <f>VLOOKUP(B116,IF(A116="COMPOSICAO",S!$A:$D,I!$A:$D),3,FALSE)</f>
        <v>H</v>
      </c>
      <c r="H116" s="18">
        <v>1</v>
      </c>
      <c r="I116" s="18">
        <f>IF(A116="COMPOSICAO",VLOOKUP("TOTAL - "&amp;B116,COMPOSICAO_AUX_4!$A:$J,10,FALSE),VLOOKUP(B116,I!$A:$D,4,FALSE))</f>
        <v>0.41</v>
      </c>
      <c r="J116" s="67">
        <f t="shared" si="3"/>
        <v>0.41</v>
      </c>
      <c r="K116" s="68"/>
    </row>
    <row r="117" spans="1:13" ht="30" customHeight="1" x14ac:dyDescent="0.3">
      <c r="A117" s="17" t="s">
        <v>70</v>
      </c>
      <c r="B117" s="19">
        <v>43491</v>
      </c>
      <c r="C117" s="64" t="str">
        <f>VLOOKUP(B117,IF(A117="COMPOSICAO",S!$A:$D,I!$A:$D),2,FALSE)</f>
        <v>EPI - FAMILIA SERVENTE - HORISTA (ENCARGOS COMPLEMENTARES - COLETADO CAIXA)</v>
      </c>
      <c r="D117" s="64"/>
      <c r="E117" s="64"/>
      <c r="F117" s="64"/>
      <c r="G117" s="17" t="str">
        <f>VLOOKUP(B117,IF(A117="COMPOSICAO",S!$A:$D,I!$A:$D),3,FALSE)</f>
        <v>H</v>
      </c>
      <c r="H117" s="18">
        <v>1</v>
      </c>
      <c r="I117" s="18">
        <f>IF(A117="COMPOSICAO",VLOOKUP("TOTAL - "&amp;B117,COMPOSICAO_AUX_4!$A:$J,10,FALSE),VLOOKUP(B117,I!$A:$D,4,FALSE))</f>
        <v>1.01</v>
      </c>
      <c r="J117" s="67">
        <f t="shared" si="3"/>
        <v>1.01</v>
      </c>
      <c r="K117" s="68"/>
    </row>
    <row r="118" spans="1:13" ht="30" customHeight="1" x14ac:dyDescent="0.3">
      <c r="A118" s="17" t="s">
        <v>71</v>
      </c>
      <c r="B118" s="19">
        <v>95378</v>
      </c>
      <c r="C118" s="64" t="str">
        <f>VLOOKUP(B118,IF(A118="COMPOSICAO",S!$A:$D,I!$A:$D),2,FALSE)</f>
        <v>CURSO DE CAPACITAÇÃO PARA SERVENTE (ENCARGOS COMPLEMENTARES) - HORISTA</v>
      </c>
      <c r="D118" s="64"/>
      <c r="E118" s="64"/>
      <c r="F118" s="64"/>
      <c r="G118" s="17" t="str">
        <f>VLOOKUP(B118,IF(A118="COMPOSICAO",S!$A:$D,I!$A:$D),3,FALSE)</f>
        <v>H</v>
      </c>
      <c r="H118" s="18">
        <v>1</v>
      </c>
      <c r="I118" s="18">
        <f>IF(A118="COMPOSICAO",VLOOKUP("TOTAL - "&amp;B118,COMPOSICAO_AUX_4!$A:$J,10,FALSE),VLOOKUP(B118,I!$A:$D,4,FALSE))</f>
        <v>0.16</v>
      </c>
      <c r="J118" s="67">
        <f t="shared" si="3"/>
        <v>0.16</v>
      </c>
      <c r="K118" s="68"/>
    </row>
    <row r="119" spans="1:13" ht="15" customHeight="1" x14ac:dyDescent="0.3">
      <c r="A119" s="22" t="s">
        <v>91</v>
      </c>
      <c r="B119" s="23"/>
      <c r="C119" s="23"/>
      <c r="D119" s="23"/>
      <c r="E119" s="23"/>
      <c r="F119" s="23"/>
      <c r="G119" s="24"/>
      <c r="H119" s="25"/>
      <c r="I119" s="26"/>
      <c r="J119" s="67">
        <f>SUM(J110:K118)</f>
        <v>15.35</v>
      </c>
      <c r="K119" s="68"/>
    </row>
    <row r="120" spans="1:13" ht="15" customHeight="1" x14ac:dyDescent="0.3">
      <c r="A120" s="3"/>
      <c r="B120" s="3"/>
      <c r="C120" s="3"/>
      <c r="D120" s="3"/>
      <c r="E120" s="3"/>
      <c r="F120" s="3"/>
      <c r="G120" s="3"/>
      <c r="H120" s="3"/>
      <c r="I120" s="3"/>
      <c r="J120" s="3"/>
      <c r="K120" s="3"/>
    </row>
    <row r="121" spans="1:13" ht="15" customHeight="1" x14ac:dyDescent="0.3">
      <c r="A121" s="10" t="s">
        <v>63</v>
      </c>
      <c r="B121" s="10" t="s">
        <v>24</v>
      </c>
      <c r="C121" s="75" t="s">
        <v>8</v>
      </c>
      <c r="D121" s="76"/>
      <c r="E121" s="76"/>
      <c r="F121" s="76"/>
      <c r="G121" s="6" t="s">
        <v>25</v>
      </c>
      <c r="H121" s="6" t="s">
        <v>64</v>
      </c>
      <c r="I121" s="6" t="s">
        <v>65</v>
      </c>
      <c r="J121" s="62" t="s">
        <v>10</v>
      </c>
      <c r="K121" s="63"/>
    </row>
    <row r="122" spans="1:13" ht="30" customHeight="1" x14ac:dyDescent="0.3">
      <c r="A122" s="6" t="s">
        <v>87</v>
      </c>
      <c r="B122" s="27">
        <v>88377</v>
      </c>
      <c r="C122" s="84" t="str">
        <f>VLOOKUP(B122,S!$A:$D,2,FALSE)</f>
        <v>OPERADOR DE BETONEIRA ESTACIONÁRIA/MISTURADOR COM ENCARGOS COMPLEMENTARES</v>
      </c>
      <c r="D122" s="84"/>
      <c r="E122" s="84"/>
      <c r="F122" s="85"/>
      <c r="G122" s="6" t="str">
        <f>VLOOKUP(B122,S!$A:$D,3,FALSE)</f>
        <v>H</v>
      </c>
      <c r="H122" s="20"/>
      <c r="I122" s="20">
        <f>J131</f>
        <v>19.32</v>
      </c>
      <c r="J122" s="70"/>
      <c r="K122" s="71"/>
      <c r="L122" s="20">
        <f>VLOOKUP(B122,S!$A:$D,4,FALSE)</f>
        <v>19.32</v>
      </c>
      <c r="M122" s="6" t="str">
        <f>IF(ROUND((L122-I122),2)=0,"OK, confere com a tabela.",IF(ROUND((L122-I122),2)&lt;0,"ACIMA ("&amp;TEXT(ROUND(I122*100/L122,4),"0,0000")&amp;" %) da tabela.","ABAIXO ("&amp;TEXT(ROUND(I122*100/L122,4),"0,0000")&amp;" %) da tabela."))</f>
        <v>OK, confere com a tabela.</v>
      </c>
    </row>
    <row r="123" spans="1:13" ht="15" customHeight="1" x14ac:dyDescent="0.3">
      <c r="A123" s="17" t="s">
        <v>70</v>
      </c>
      <c r="B123" s="19">
        <v>37370</v>
      </c>
      <c r="C123" s="64" t="str">
        <f>VLOOKUP(B123,IF(A123="COMPOSICAO",S!$A:$D,I!$A:$D),2,FALSE)</f>
        <v>ALIMENTACAO - HORISTA (COLETADO CAIXA)</v>
      </c>
      <c r="D123" s="64"/>
      <c r="E123" s="64"/>
      <c r="F123" s="64"/>
      <c r="G123" s="17" t="str">
        <f>VLOOKUP(B123,IF(A123="COMPOSICAO",S!$A:$D,I!$A:$D),3,FALSE)</f>
        <v>H</v>
      </c>
      <c r="H123" s="18">
        <v>1</v>
      </c>
      <c r="I123" s="18">
        <f>IF(A123="COMPOSICAO",VLOOKUP("TOTAL - "&amp;B123,COMPOSICAO_AUX_4!$A:$J,10,FALSE),VLOOKUP(B123,I!$A:$D,4,FALSE))</f>
        <v>1.86</v>
      </c>
      <c r="J123" s="67">
        <f t="shared" ref="J123:J130" si="4">TRUNC(H123*I123,2)</f>
        <v>1.86</v>
      </c>
      <c r="K123" s="68"/>
    </row>
    <row r="124" spans="1:13" ht="15" customHeight="1" x14ac:dyDescent="0.3">
      <c r="A124" s="17" t="s">
        <v>70</v>
      </c>
      <c r="B124" s="19">
        <v>37371</v>
      </c>
      <c r="C124" s="64" t="str">
        <f>VLOOKUP(B124,IF(A124="COMPOSICAO",S!$A:$D,I!$A:$D),2,FALSE)</f>
        <v>TRANSPORTE - HORISTA (COLETADO CAIXA)</v>
      </c>
      <c r="D124" s="64"/>
      <c r="E124" s="64"/>
      <c r="F124" s="64"/>
      <c r="G124" s="17" t="str">
        <f>VLOOKUP(B124,IF(A124="COMPOSICAO",S!$A:$D,I!$A:$D),3,FALSE)</f>
        <v>H</v>
      </c>
      <c r="H124" s="18">
        <v>1</v>
      </c>
      <c r="I124" s="18">
        <f>IF(A124="COMPOSICAO",VLOOKUP("TOTAL - "&amp;B124,COMPOSICAO_AUX_4!$A:$J,10,FALSE),VLOOKUP(B124,I!$A:$D,4,FALSE))</f>
        <v>0.7</v>
      </c>
      <c r="J124" s="67">
        <f t="shared" si="4"/>
        <v>0.7</v>
      </c>
      <c r="K124" s="68"/>
    </row>
    <row r="125" spans="1:13" ht="15" customHeight="1" x14ac:dyDescent="0.3">
      <c r="A125" s="17" t="s">
        <v>70</v>
      </c>
      <c r="B125" s="19">
        <v>37372</v>
      </c>
      <c r="C125" s="64" t="str">
        <f>VLOOKUP(B125,IF(A125="COMPOSICAO",S!$A:$D,I!$A:$D),2,FALSE)</f>
        <v>EXAMES - HORISTA (COLETADO CAIXA)</v>
      </c>
      <c r="D125" s="64"/>
      <c r="E125" s="64"/>
      <c r="F125" s="64"/>
      <c r="G125" s="17" t="str">
        <f>VLOOKUP(B125,IF(A125="COMPOSICAO",S!$A:$D,I!$A:$D),3,FALSE)</f>
        <v>H</v>
      </c>
      <c r="H125" s="18">
        <v>1</v>
      </c>
      <c r="I125" s="18">
        <f>IF(A125="COMPOSICAO",VLOOKUP("TOTAL - "&amp;B125,COMPOSICAO_AUX_4!$A:$J,10,FALSE),VLOOKUP(B125,I!$A:$D,4,FALSE))</f>
        <v>0.55000000000000004</v>
      </c>
      <c r="J125" s="67">
        <f t="shared" si="4"/>
        <v>0.55000000000000004</v>
      </c>
      <c r="K125" s="68"/>
    </row>
    <row r="126" spans="1:13" ht="15" customHeight="1" x14ac:dyDescent="0.3">
      <c r="A126" s="17" t="s">
        <v>70</v>
      </c>
      <c r="B126" s="19">
        <v>37373</v>
      </c>
      <c r="C126" s="64" t="str">
        <f>VLOOKUP(B126,IF(A126="COMPOSICAO",S!$A:$D,I!$A:$D),2,FALSE)</f>
        <v>SEGURO - HORISTA (COLETADO CAIXA)</v>
      </c>
      <c r="D126" s="64"/>
      <c r="E126" s="64"/>
      <c r="F126" s="64"/>
      <c r="G126" s="17" t="str">
        <f>VLOOKUP(B126,IF(A126="COMPOSICAO",S!$A:$D,I!$A:$D),3,FALSE)</f>
        <v>H</v>
      </c>
      <c r="H126" s="18">
        <v>1</v>
      </c>
      <c r="I126" s="18">
        <f>IF(A126="COMPOSICAO",VLOOKUP("TOTAL - "&amp;B126,COMPOSICAO_AUX_4!$A:$J,10,FALSE),VLOOKUP(B126,I!$A:$D,4,FALSE))</f>
        <v>0.06</v>
      </c>
      <c r="J126" s="67">
        <f t="shared" si="4"/>
        <v>0.06</v>
      </c>
      <c r="K126" s="68"/>
    </row>
    <row r="127" spans="1:13" ht="30" customHeight="1" x14ac:dyDescent="0.3">
      <c r="A127" s="17" t="s">
        <v>70</v>
      </c>
      <c r="B127" s="19">
        <v>37666</v>
      </c>
      <c r="C127" s="64" t="str">
        <f>VLOOKUP(B127,IF(A127="COMPOSICAO",S!$A:$D,I!$A:$D),2,FALSE)</f>
        <v>OPERADOR DE BETONEIRA ESTACIONARIA / MISTURADOR</v>
      </c>
      <c r="D127" s="64"/>
      <c r="E127" s="64"/>
      <c r="F127" s="64"/>
      <c r="G127" s="17" t="str">
        <f>VLOOKUP(B127,IF(A127="COMPOSICAO",S!$A:$D,I!$A:$D),3,FALSE)</f>
        <v>H</v>
      </c>
      <c r="H127" s="18">
        <v>1</v>
      </c>
      <c r="I127" s="18">
        <f>IF(A127="COMPOSICAO",VLOOKUP("TOTAL - "&amp;B127,COMPOSICAO_AUX_4!$A:$J,10,FALSE),VLOOKUP(B127,I!$A:$D,4,FALSE))</f>
        <v>15.42</v>
      </c>
      <c r="J127" s="67">
        <f t="shared" si="4"/>
        <v>15.42</v>
      </c>
      <c r="K127" s="68"/>
    </row>
    <row r="128" spans="1:13" ht="45" customHeight="1" x14ac:dyDescent="0.3">
      <c r="A128" s="17" t="s">
        <v>70</v>
      </c>
      <c r="B128" s="19">
        <v>43464</v>
      </c>
      <c r="C128" s="64" t="str">
        <f>VLOOKUP(B128,IF(A128="COMPOSICAO",S!$A:$D,I!$A:$D),2,FALSE)</f>
        <v>FERRAMENTAS - FAMILIA OPERADOR ESCAVADEIRA - HORISTA (ENCARGOS COMPLEMENTARES - COLETADO CAIXA)</v>
      </c>
      <c r="D128" s="64"/>
      <c r="E128" s="64"/>
      <c r="F128" s="64"/>
      <c r="G128" s="17" t="str">
        <f>VLOOKUP(B128,IF(A128="COMPOSICAO",S!$A:$D,I!$A:$D),3,FALSE)</f>
        <v>H</v>
      </c>
      <c r="H128" s="18">
        <v>1</v>
      </c>
      <c r="I128" s="18">
        <f>IF(A128="COMPOSICAO",VLOOKUP("TOTAL - "&amp;B128,COMPOSICAO_AUX_4!$A:$J,10,FALSE),VLOOKUP(B128,I!$A:$D,4,FALSE))</f>
        <v>0.01</v>
      </c>
      <c r="J128" s="67">
        <f t="shared" si="4"/>
        <v>0.01</v>
      </c>
      <c r="K128" s="68"/>
    </row>
    <row r="129" spans="1:13" ht="30" customHeight="1" x14ac:dyDescent="0.3">
      <c r="A129" s="17" t="s">
        <v>70</v>
      </c>
      <c r="B129" s="19">
        <v>43488</v>
      </c>
      <c r="C129" s="64" t="str">
        <f>VLOOKUP(B129,IF(A129="COMPOSICAO",S!$A:$D,I!$A:$D),2,FALSE)</f>
        <v>EPI - FAMILIA OPERADOR ESCAVADEIRA - HORISTA (ENCARGOS COMPLEMENTARES - COLETADO CAIXA)</v>
      </c>
      <c r="D129" s="64"/>
      <c r="E129" s="64"/>
      <c r="F129" s="64"/>
      <c r="G129" s="17" t="str">
        <f>VLOOKUP(B129,IF(A129="COMPOSICAO",S!$A:$D,I!$A:$D),3,FALSE)</f>
        <v>H</v>
      </c>
      <c r="H129" s="18">
        <v>1</v>
      </c>
      <c r="I129" s="18">
        <f>IF(A129="COMPOSICAO",VLOOKUP("TOTAL - "&amp;B129,COMPOSICAO_AUX_4!$A:$J,10,FALSE),VLOOKUP(B129,I!$A:$D,4,FALSE))</f>
        <v>0.63</v>
      </c>
      <c r="J129" s="67">
        <f t="shared" si="4"/>
        <v>0.63</v>
      </c>
      <c r="K129" s="68"/>
    </row>
    <row r="130" spans="1:13" ht="45" customHeight="1" x14ac:dyDescent="0.3">
      <c r="A130" s="17" t="s">
        <v>71</v>
      </c>
      <c r="B130" s="19">
        <v>95389</v>
      </c>
      <c r="C130" s="64" t="str">
        <f>VLOOKUP(B130,IF(A130="COMPOSICAO",S!$A:$D,I!$A:$D),2,FALSE)</f>
        <v>CURSO DE CAPACITAÇÃO PARA OPERADOR DE BETONEIRA ESTACIONÁRIA/MISTURADOR (ENCARGOS COMPLEMENTARES) - HORISTA</v>
      </c>
      <c r="D130" s="64"/>
      <c r="E130" s="64"/>
      <c r="F130" s="64"/>
      <c r="G130" s="17" t="str">
        <f>VLOOKUP(B130,IF(A130="COMPOSICAO",S!$A:$D,I!$A:$D),3,FALSE)</f>
        <v>H</v>
      </c>
      <c r="H130" s="18">
        <v>1</v>
      </c>
      <c r="I130" s="18">
        <f>IF(A130="COMPOSICAO",VLOOKUP("TOTAL - "&amp;B130,COMPOSICAO_AUX_4!$A:$J,10,FALSE),VLOOKUP(B130,I!$A:$D,4,FALSE))</f>
        <v>0.09</v>
      </c>
      <c r="J130" s="67">
        <f t="shared" si="4"/>
        <v>0.09</v>
      </c>
      <c r="K130" s="68"/>
    </row>
    <row r="131" spans="1:13" ht="15" customHeight="1" x14ac:dyDescent="0.3">
      <c r="A131" s="22" t="s">
        <v>134</v>
      </c>
      <c r="B131" s="23"/>
      <c r="C131" s="23"/>
      <c r="D131" s="23"/>
      <c r="E131" s="23"/>
      <c r="F131" s="23"/>
      <c r="G131" s="24"/>
      <c r="H131" s="25"/>
      <c r="I131" s="26"/>
      <c r="J131" s="67">
        <f>SUM(J122:K130)</f>
        <v>19.32</v>
      </c>
      <c r="K131" s="68"/>
    </row>
    <row r="132" spans="1:13" ht="15" customHeight="1" x14ac:dyDescent="0.3">
      <c r="A132" s="3"/>
      <c r="B132" s="3"/>
      <c r="C132" s="3"/>
      <c r="D132" s="3"/>
      <c r="E132" s="3"/>
      <c r="F132" s="3"/>
      <c r="G132" s="3"/>
      <c r="H132" s="3"/>
      <c r="I132" s="3"/>
      <c r="J132" s="3"/>
      <c r="K132" s="3"/>
    </row>
    <row r="133" spans="1:13" ht="15" customHeight="1" x14ac:dyDescent="0.3">
      <c r="A133" s="10" t="s">
        <v>63</v>
      </c>
      <c r="B133" s="10" t="s">
        <v>24</v>
      </c>
      <c r="C133" s="75" t="s">
        <v>8</v>
      </c>
      <c r="D133" s="76"/>
      <c r="E133" s="76"/>
      <c r="F133" s="76"/>
      <c r="G133" s="6" t="s">
        <v>25</v>
      </c>
      <c r="H133" s="6" t="s">
        <v>64</v>
      </c>
      <c r="I133" s="6" t="s">
        <v>65</v>
      </c>
      <c r="J133" s="62" t="s">
        <v>10</v>
      </c>
      <c r="K133" s="63"/>
    </row>
    <row r="134" spans="1:13" ht="60" customHeight="1" x14ac:dyDescent="0.3">
      <c r="A134" s="6" t="s">
        <v>107</v>
      </c>
      <c r="B134" s="27">
        <v>89225</v>
      </c>
      <c r="C134" s="84" t="str">
        <f>VLOOKUP(B134,S!$A:$D,2,FALSE)</f>
        <v>BETONEIRA CAPACIDADE NOMINAL DE 600 L, CAPACIDADE DE MISTURA 360 L, MOTOR ELÉTRICO TRIFÁSICO POTÊNCIA DE 4 CV, SEM CARREGADOR - CHP DIURNO. AF_11/2014</v>
      </c>
      <c r="D134" s="84"/>
      <c r="E134" s="84"/>
      <c r="F134" s="85"/>
      <c r="G134" s="6" t="str">
        <f>VLOOKUP(B134,S!$A:$D,3,FALSE)</f>
        <v>CHP</v>
      </c>
      <c r="H134" s="20"/>
      <c r="I134" s="20">
        <f>J139</f>
        <v>4.2899999999999991</v>
      </c>
      <c r="J134" s="70"/>
      <c r="K134" s="71"/>
      <c r="L134" s="20">
        <f>VLOOKUP(B134,S!$A:$D,4,FALSE)</f>
        <v>4.29</v>
      </c>
      <c r="M134" s="6" t="str">
        <f>IF(ROUND((L134-I134),2)=0,"OK, confere com a tabela.",IF(ROUND((L134-I134),2)&lt;0,"ACIMA ("&amp;TEXT(ROUND(I134*100/L134,4),"0,0000")&amp;" %) da tabela.","ABAIXO ("&amp;TEXT(ROUND(I134*100/L134,4),"0,0000")&amp;" %) da tabela."))</f>
        <v>OK, confere com a tabela.</v>
      </c>
    </row>
    <row r="135" spans="1:13" ht="60" customHeight="1" x14ac:dyDescent="0.3">
      <c r="A135" s="17" t="s">
        <v>71</v>
      </c>
      <c r="B135" s="19">
        <v>89221</v>
      </c>
      <c r="C135" s="64" t="str">
        <f>VLOOKUP(B135,IF(A135="COMPOSICAO",S!$A:$D,I!$A:$D),2,FALSE)</f>
        <v>BETONEIRA CAPACIDADE NOMINAL DE 600 L, CAPACIDADE DE MISTURA 360 L, MOTOR ELÉTRICO TRIFÁSICO POTÊNCIA DE 4 CV, SEM CARREGADOR - DEPRECIAÇÃO. AF_11/2014</v>
      </c>
      <c r="D135" s="64"/>
      <c r="E135" s="64"/>
      <c r="F135" s="64"/>
      <c r="G135" s="17" t="str">
        <f>VLOOKUP(B135,IF(A135="COMPOSICAO",S!$A:$D,I!$A:$D),3,FALSE)</f>
        <v>H</v>
      </c>
      <c r="H135" s="18">
        <v>1</v>
      </c>
      <c r="I135" s="18">
        <f>IF(A135="COMPOSICAO",VLOOKUP("TOTAL - "&amp;B135,COMPOSICAO_AUX_4!$A:$J,10,FALSE),VLOOKUP(B135,I!$A:$D,4,FALSE))</f>
        <v>1.17</v>
      </c>
      <c r="J135" s="67">
        <f>TRUNC(H135*I135,2)</f>
        <v>1.17</v>
      </c>
      <c r="K135" s="68"/>
    </row>
    <row r="136" spans="1:13" ht="60" customHeight="1" x14ac:dyDescent="0.3">
      <c r="A136" s="17" t="s">
        <v>71</v>
      </c>
      <c r="B136" s="19">
        <v>89222</v>
      </c>
      <c r="C136" s="64" t="str">
        <f>VLOOKUP(B136,IF(A136="COMPOSICAO",S!$A:$D,I!$A:$D),2,FALSE)</f>
        <v>BETONEIRA CAPACIDADE NOMINAL DE 600 L, CAPACIDADE DE MISTURA 360 L, MOTOR ELÉTRICO TRIFÁSICO POTÊNCIA DE 4 CV, SEM CARREGADOR - JUROS. AF_11/2014</v>
      </c>
      <c r="D136" s="64"/>
      <c r="E136" s="64"/>
      <c r="F136" s="64"/>
      <c r="G136" s="17" t="str">
        <f>VLOOKUP(B136,IF(A136="COMPOSICAO",S!$A:$D,I!$A:$D),3,FALSE)</f>
        <v>H</v>
      </c>
      <c r="H136" s="18">
        <v>1</v>
      </c>
      <c r="I136" s="18">
        <f>IF(A136="COMPOSICAO",VLOOKUP("TOTAL - "&amp;B136,COMPOSICAO_AUX_4!$A:$J,10,FALSE),VLOOKUP(B136,I!$A:$D,4,FALSE))</f>
        <v>0.13</v>
      </c>
      <c r="J136" s="67">
        <f>TRUNC(H136*I136,2)</f>
        <v>0.13</v>
      </c>
      <c r="K136" s="68"/>
    </row>
    <row r="137" spans="1:13" ht="60" customHeight="1" x14ac:dyDescent="0.3">
      <c r="A137" s="17" t="s">
        <v>71</v>
      </c>
      <c r="B137" s="19">
        <v>89223</v>
      </c>
      <c r="C137" s="64" t="str">
        <f>VLOOKUP(B137,IF(A137="COMPOSICAO",S!$A:$D,I!$A:$D),2,FALSE)</f>
        <v>BETONEIRA CAPACIDADE NOMINAL DE 600 L, CAPACIDADE DE MISTURA 360 L, MOTOR ELÉTRICO TRIFÁSICO POTÊNCIA DE 4 CV, SEM CARREGADOR - MANUTENÇÃO. AF_11/2014</v>
      </c>
      <c r="D137" s="64"/>
      <c r="E137" s="64"/>
      <c r="F137" s="64"/>
      <c r="G137" s="17" t="str">
        <f>VLOOKUP(B137,IF(A137="COMPOSICAO",S!$A:$D,I!$A:$D),3,FALSE)</f>
        <v>H</v>
      </c>
      <c r="H137" s="18">
        <v>1</v>
      </c>
      <c r="I137" s="18">
        <f>IF(A137="COMPOSICAO",VLOOKUP("TOTAL - "&amp;B137,COMPOSICAO_AUX_4!$A:$J,10,FALSE),VLOOKUP(B137,I!$A:$D,4,FALSE))</f>
        <v>1.0900000000000001</v>
      </c>
      <c r="J137" s="67">
        <f>TRUNC(H137*I137,2)</f>
        <v>1.0900000000000001</v>
      </c>
      <c r="K137" s="68"/>
    </row>
    <row r="138" spans="1:13" ht="60" customHeight="1" x14ac:dyDescent="0.3">
      <c r="A138" s="17" t="s">
        <v>71</v>
      </c>
      <c r="B138" s="19">
        <v>89224</v>
      </c>
      <c r="C138" s="64" t="str">
        <f>VLOOKUP(B138,IF(A138="COMPOSICAO",S!$A:$D,I!$A:$D),2,FALSE)</f>
        <v>BETONEIRA CAPACIDADE NOMINAL DE 600 L, CAPACIDADE DE MISTURA 360 L, MOTOR ELÉTRICO TRIFÁSICO POTÊNCIA DE 4 CV, SEM CARREGADOR - MATERIAIS NA OPERAÇÃO. AF_11/2014</v>
      </c>
      <c r="D138" s="64"/>
      <c r="E138" s="64"/>
      <c r="F138" s="64"/>
      <c r="G138" s="17" t="str">
        <f>VLOOKUP(B138,IF(A138="COMPOSICAO",S!$A:$D,I!$A:$D),3,FALSE)</f>
        <v>H</v>
      </c>
      <c r="H138" s="18">
        <v>1</v>
      </c>
      <c r="I138" s="18">
        <f>IF(A138="COMPOSICAO",VLOOKUP("TOTAL - "&amp;B138,COMPOSICAO_AUX_4!$A:$J,10,FALSE),VLOOKUP(B138,I!$A:$D,4,FALSE))</f>
        <v>1.9</v>
      </c>
      <c r="J138" s="67">
        <f>TRUNC(H138*I138,2)</f>
        <v>1.9</v>
      </c>
      <c r="K138" s="68"/>
    </row>
    <row r="139" spans="1:13" ht="15" customHeight="1" x14ac:dyDescent="0.3">
      <c r="A139" s="22" t="s">
        <v>135</v>
      </c>
      <c r="B139" s="23"/>
      <c r="C139" s="23"/>
      <c r="D139" s="23"/>
      <c r="E139" s="23"/>
      <c r="F139" s="23"/>
      <c r="G139" s="24"/>
      <c r="H139" s="25"/>
      <c r="I139" s="26"/>
      <c r="J139" s="67">
        <f>SUM(J134:K138)</f>
        <v>4.2899999999999991</v>
      </c>
      <c r="K139" s="68"/>
    </row>
    <row r="140" spans="1:13" ht="15" customHeight="1" x14ac:dyDescent="0.3">
      <c r="A140" s="3"/>
      <c r="B140" s="3"/>
      <c r="C140" s="3"/>
      <c r="D140" s="3"/>
      <c r="E140" s="3"/>
      <c r="F140" s="3"/>
      <c r="G140" s="3"/>
      <c r="H140" s="3"/>
      <c r="I140" s="3"/>
      <c r="J140" s="3"/>
      <c r="K140" s="3"/>
    </row>
    <row r="141" spans="1:13" ht="15" customHeight="1" x14ac:dyDescent="0.3">
      <c r="A141" s="10" t="s">
        <v>63</v>
      </c>
      <c r="B141" s="10" t="s">
        <v>24</v>
      </c>
      <c r="C141" s="75" t="s">
        <v>8</v>
      </c>
      <c r="D141" s="76"/>
      <c r="E141" s="76"/>
      <c r="F141" s="76"/>
      <c r="G141" s="6" t="s">
        <v>25</v>
      </c>
      <c r="H141" s="6" t="s">
        <v>64</v>
      </c>
      <c r="I141" s="6" t="s">
        <v>65</v>
      </c>
      <c r="J141" s="62" t="s">
        <v>10</v>
      </c>
      <c r="K141" s="63"/>
    </row>
    <row r="142" spans="1:13" ht="60" customHeight="1" x14ac:dyDescent="0.3">
      <c r="A142" s="6" t="s">
        <v>107</v>
      </c>
      <c r="B142" s="27">
        <v>89226</v>
      </c>
      <c r="C142" s="84" t="str">
        <f>VLOOKUP(B142,S!$A:$D,2,FALSE)</f>
        <v>BETONEIRA CAPACIDADE NOMINAL DE 600 L, CAPACIDADE DE MISTURA 360 L, MOTOR ELÉTRICO TRIFÁSICO POTÊNCIA DE 4 CV, SEM CARREGADOR - CHI DIURNO. AF_11/2014</v>
      </c>
      <c r="D142" s="84"/>
      <c r="E142" s="84"/>
      <c r="F142" s="85"/>
      <c r="G142" s="6" t="str">
        <f>VLOOKUP(B142,S!$A:$D,3,FALSE)</f>
        <v>CHI</v>
      </c>
      <c r="H142" s="20"/>
      <c r="I142" s="20">
        <f>J145</f>
        <v>1.2999999999999998</v>
      </c>
      <c r="J142" s="70"/>
      <c r="K142" s="71"/>
      <c r="L142" s="20">
        <f>VLOOKUP(B142,S!$A:$D,4,FALSE)</f>
        <v>1.3</v>
      </c>
      <c r="M142" s="6" t="str">
        <f>IF(ROUND((L142-I142),2)=0,"OK, confere com a tabela.",IF(ROUND((L142-I142),2)&lt;0,"ACIMA ("&amp;TEXT(ROUND(I142*100/L142,4),"0,0000")&amp;" %) da tabela.","ABAIXO ("&amp;TEXT(ROUND(I142*100/L142,4),"0,0000")&amp;" %) da tabela."))</f>
        <v>OK, confere com a tabela.</v>
      </c>
    </row>
    <row r="143" spans="1:13" ht="60" customHeight="1" x14ac:dyDescent="0.3">
      <c r="A143" s="17" t="s">
        <v>71</v>
      </c>
      <c r="B143" s="19">
        <v>89221</v>
      </c>
      <c r="C143" s="64" t="str">
        <f>VLOOKUP(B143,IF(A143="COMPOSICAO",S!$A:$D,I!$A:$D),2,FALSE)</f>
        <v>BETONEIRA CAPACIDADE NOMINAL DE 600 L, CAPACIDADE DE MISTURA 360 L, MOTOR ELÉTRICO TRIFÁSICO POTÊNCIA DE 4 CV, SEM CARREGADOR - DEPRECIAÇÃO. AF_11/2014</v>
      </c>
      <c r="D143" s="64"/>
      <c r="E143" s="64"/>
      <c r="F143" s="64"/>
      <c r="G143" s="17" t="str">
        <f>VLOOKUP(B143,IF(A143="COMPOSICAO",S!$A:$D,I!$A:$D),3,FALSE)</f>
        <v>H</v>
      </c>
      <c r="H143" s="18">
        <v>1</v>
      </c>
      <c r="I143" s="18">
        <f>IF(A143="COMPOSICAO",VLOOKUP("TOTAL - "&amp;B143,COMPOSICAO_AUX_4!$A:$J,10,FALSE),VLOOKUP(B143,I!$A:$D,4,FALSE))</f>
        <v>1.17</v>
      </c>
      <c r="J143" s="67">
        <f>TRUNC(H143*I143,2)</f>
        <v>1.17</v>
      </c>
      <c r="K143" s="68"/>
    </row>
    <row r="144" spans="1:13" ht="60" customHeight="1" x14ac:dyDescent="0.3">
      <c r="A144" s="17" t="s">
        <v>71</v>
      </c>
      <c r="B144" s="19">
        <v>89222</v>
      </c>
      <c r="C144" s="64" t="str">
        <f>VLOOKUP(B144,IF(A144="COMPOSICAO",S!$A:$D,I!$A:$D),2,FALSE)</f>
        <v>BETONEIRA CAPACIDADE NOMINAL DE 600 L, CAPACIDADE DE MISTURA 360 L, MOTOR ELÉTRICO TRIFÁSICO POTÊNCIA DE 4 CV, SEM CARREGADOR - JUROS. AF_11/2014</v>
      </c>
      <c r="D144" s="64"/>
      <c r="E144" s="64"/>
      <c r="F144" s="64"/>
      <c r="G144" s="17" t="str">
        <f>VLOOKUP(B144,IF(A144="COMPOSICAO",S!$A:$D,I!$A:$D),3,FALSE)</f>
        <v>H</v>
      </c>
      <c r="H144" s="18">
        <v>1</v>
      </c>
      <c r="I144" s="18">
        <f>IF(A144="COMPOSICAO",VLOOKUP("TOTAL - "&amp;B144,COMPOSICAO_AUX_4!$A:$J,10,FALSE),VLOOKUP(B144,I!$A:$D,4,FALSE))</f>
        <v>0.13</v>
      </c>
      <c r="J144" s="67">
        <f>TRUNC(H144*I144,2)</f>
        <v>0.13</v>
      </c>
      <c r="K144" s="68"/>
    </row>
    <row r="145" spans="1:13" ht="15" customHeight="1" x14ac:dyDescent="0.3">
      <c r="A145" s="22" t="s">
        <v>136</v>
      </c>
      <c r="B145" s="23"/>
      <c r="C145" s="23"/>
      <c r="D145" s="23"/>
      <c r="E145" s="23"/>
      <c r="F145" s="23"/>
      <c r="G145" s="24"/>
      <c r="H145" s="25"/>
      <c r="I145" s="26"/>
      <c r="J145" s="67">
        <f>SUM(J142:K144)</f>
        <v>1.2999999999999998</v>
      </c>
      <c r="K145" s="68"/>
    </row>
    <row r="146" spans="1:13" ht="15" customHeight="1" x14ac:dyDescent="0.3">
      <c r="A146" s="3"/>
      <c r="B146" s="3"/>
      <c r="C146" s="3"/>
      <c r="D146" s="3"/>
      <c r="E146" s="3"/>
      <c r="F146" s="3"/>
      <c r="G146" s="3"/>
      <c r="H146" s="3"/>
      <c r="I146" s="3"/>
      <c r="J146" s="3"/>
      <c r="K146" s="3"/>
    </row>
    <row r="147" spans="1:13" ht="15" customHeight="1" x14ac:dyDescent="0.3">
      <c r="A147" s="10" t="s">
        <v>63</v>
      </c>
      <c r="B147" s="10" t="s">
        <v>24</v>
      </c>
      <c r="C147" s="75" t="s">
        <v>8</v>
      </c>
      <c r="D147" s="76"/>
      <c r="E147" s="76"/>
      <c r="F147" s="76"/>
      <c r="G147" s="6" t="s">
        <v>25</v>
      </c>
      <c r="H147" s="6" t="s">
        <v>64</v>
      </c>
      <c r="I147" s="6" t="s">
        <v>65</v>
      </c>
      <c r="J147" s="62" t="s">
        <v>10</v>
      </c>
      <c r="K147" s="63"/>
    </row>
    <row r="148" spans="1:13" ht="45" customHeight="1" x14ac:dyDescent="0.3">
      <c r="A148" s="6" t="s">
        <v>107</v>
      </c>
      <c r="B148" s="27">
        <v>91529</v>
      </c>
      <c r="C148" s="84" t="str">
        <f>VLOOKUP(B148,S!$A:$D,2,FALSE)</f>
        <v>COMPACTADOR DE SOLOS DE PERCUSSÃO (SOQUETE) COM MOTOR A GASOLINA 4 TEMPOS, POTÊNCIA 4 CV - DEPRECIAÇÃO. AF_08/2015</v>
      </c>
      <c r="D148" s="84"/>
      <c r="E148" s="84"/>
      <c r="F148" s="85"/>
      <c r="G148" s="6" t="str">
        <f>VLOOKUP(B148,S!$A:$D,3,FALSE)</f>
        <v>H</v>
      </c>
      <c r="H148" s="20"/>
      <c r="I148" s="20">
        <f>J150</f>
        <v>0.7</v>
      </c>
      <c r="J148" s="70"/>
      <c r="K148" s="71"/>
      <c r="L148" s="20">
        <f>VLOOKUP(B148,S!$A:$D,4,FALSE)</f>
        <v>0.7</v>
      </c>
      <c r="M148" s="6" t="str">
        <f>IF(ROUND((L148-I148),2)=0,"OK, confere com a tabela.",IF(ROUND((L148-I148),2)&lt;0,"ACIMA ("&amp;TEXT(ROUND(I148*100/L148,4),"0,0000")&amp;" %) da tabela.","ABAIXO ("&amp;TEXT(ROUND(I148*100/L148,4),"0,0000")&amp;" %) da tabela."))</f>
        <v>OK, confere com a tabela.</v>
      </c>
    </row>
    <row r="149" spans="1:13" ht="30" customHeight="1" x14ac:dyDescent="0.3">
      <c r="A149" s="17" t="s">
        <v>70</v>
      </c>
      <c r="B149" s="19">
        <v>13458</v>
      </c>
      <c r="C149" s="64" t="str">
        <f>VLOOKUP(B149,IF(A149="COMPOSICAO",S!$A:$D,I!$A:$D),2,FALSE)</f>
        <v>COMPACTADOR DE SOLOS DE PERCURSAO (SOQUETE) COM MOTOR A GASOLINA 4 TEMPOS DE 4 HP (4 CV)</v>
      </c>
      <c r="D149" s="64"/>
      <c r="E149" s="64"/>
      <c r="F149" s="64"/>
      <c r="G149" s="17" t="str">
        <f>VLOOKUP(B149,IF(A149="COMPOSICAO",S!$A:$D,I!$A:$D),3,FALSE)</f>
        <v>UN</v>
      </c>
      <c r="H149" s="31">
        <v>5.3300000000000001E-5</v>
      </c>
      <c r="I149" s="18">
        <f>IF(A149="COMPOSICAO",VLOOKUP("TOTAL - "&amp;B149,COMPOSICAO_AUX_4!$A:$J,10,FALSE),VLOOKUP(B149,I!$A:$D,4,FALSE))</f>
        <v>13240.1</v>
      </c>
      <c r="J149" s="67">
        <f>TRUNC(H149*I149,2)</f>
        <v>0.7</v>
      </c>
      <c r="K149" s="68"/>
    </row>
    <row r="150" spans="1:13" ht="15" customHeight="1" x14ac:dyDescent="0.3">
      <c r="A150" s="22" t="s">
        <v>137</v>
      </c>
      <c r="B150" s="23"/>
      <c r="C150" s="23"/>
      <c r="D150" s="23"/>
      <c r="E150" s="23"/>
      <c r="F150" s="23"/>
      <c r="G150" s="24"/>
      <c r="H150" s="25"/>
      <c r="I150" s="26"/>
      <c r="J150" s="67">
        <f>SUM(J148:K149)</f>
        <v>0.7</v>
      </c>
      <c r="K150" s="68"/>
    </row>
    <row r="151" spans="1:13" ht="15" customHeight="1" x14ac:dyDescent="0.3">
      <c r="A151" s="3"/>
      <c r="B151" s="3"/>
      <c r="C151" s="3"/>
      <c r="D151" s="3"/>
      <c r="E151" s="3"/>
      <c r="F151" s="3"/>
      <c r="G151" s="3"/>
      <c r="H151" s="3"/>
      <c r="I151" s="3"/>
      <c r="J151" s="3"/>
      <c r="K151" s="3"/>
    </row>
    <row r="152" spans="1:13" ht="15" customHeight="1" x14ac:dyDescent="0.3">
      <c r="A152" s="10" t="s">
        <v>63</v>
      </c>
      <c r="B152" s="10" t="s">
        <v>24</v>
      </c>
      <c r="C152" s="75" t="s">
        <v>8</v>
      </c>
      <c r="D152" s="76"/>
      <c r="E152" s="76"/>
      <c r="F152" s="76"/>
      <c r="G152" s="6" t="s">
        <v>25</v>
      </c>
      <c r="H152" s="6" t="s">
        <v>64</v>
      </c>
      <c r="I152" s="6" t="s">
        <v>65</v>
      </c>
      <c r="J152" s="62" t="s">
        <v>10</v>
      </c>
      <c r="K152" s="63"/>
    </row>
    <row r="153" spans="1:13" ht="45" customHeight="1" x14ac:dyDescent="0.3">
      <c r="A153" s="6" t="s">
        <v>107</v>
      </c>
      <c r="B153" s="27">
        <v>91530</v>
      </c>
      <c r="C153" s="84" t="str">
        <f>VLOOKUP(B153,S!$A:$D,2,FALSE)</f>
        <v>COMPACTADOR DE SOLOS DE PERCUSSÃO (SOQUETE) COM MOTOR A GASOLINA 4 TEMPOS, POTÊNCIA 4 CV - JUROS. AF_08/2015</v>
      </c>
      <c r="D153" s="84"/>
      <c r="E153" s="84"/>
      <c r="F153" s="85"/>
      <c r="G153" s="6" t="str">
        <f>VLOOKUP(B153,S!$A:$D,3,FALSE)</f>
        <v>H</v>
      </c>
      <c r="H153" s="20"/>
      <c r="I153" s="20">
        <f>J155</f>
        <v>0.09</v>
      </c>
      <c r="J153" s="70"/>
      <c r="K153" s="71"/>
      <c r="L153" s="20">
        <f>VLOOKUP(B153,S!$A:$D,4,FALSE)</f>
        <v>0.09</v>
      </c>
      <c r="M153" s="6" t="str">
        <f>IF(ROUND((L153-I153),2)=0,"OK, confere com a tabela.",IF(ROUND((L153-I153),2)&lt;0,"ACIMA ("&amp;TEXT(ROUND(I153*100/L153,4),"0,0000")&amp;" %) da tabela.","ABAIXO ("&amp;TEXT(ROUND(I153*100/L153,4),"0,0000")&amp;" %) da tabela."))</f>
        <v>OK, confere com a tabela.</v>
      </c>
    </row>
    <row r="154" spans="1:13" ht="30" customHeight="1" x14ac:dyDescent="0.3">
      <c r="A154" s="17" t="s">
        <v>70</v>
      </c>
      <c r="B154" s="19">
        <v>13458</v>
      </c>
      <c r="C154" s="64" t="str">
        <f>VLOOKUP(B154,IF(A154="COMPOSICAO",S!$A:$D,I!$A:$D),2,FALSE)</f>
        <v>COMPACTADOR DE SOLOS DE PERCURSAO (SOQUETE) COM MOTOR A GASOLINA 4 TEMPOS DE 4 HP (4 CV)</v>
      </c>
      <c r="D154" s="64"/>
      <c r="E154" s="64"/>
      <c r="F154" s="64"/>
      <c r="G154" s="17" t="str">
        <f>VLOOKUP(B154,IF(A154="COMPOSICAO",S!$A:$D,I!$A:$D),3,FALSE)</f>
        <v>UN</v>
      </c>
      <c r="H154" s="31">
        <v>7.4000000000000003E-6</v>
      </c>
      <c r="I154" s="18">
        <f>IF(A154="COMPOSICAO",VLOOKUP("TOTAL - "&amp;B154,COMPOSICAO_AUX_4!$A:$J,10,FALSE),VLOOKUP(B154,I!$A:$D,4,FALSE))</f>
        <v>13240.1</v>
      </c>
      <c r="J154" s="67">
        <f>TRUNC(H154*I154,2)</f>
        <v>0.09</v>
      </c>
      <c r="K154" s="68"/>
    </row>
    <row r="155" spans="1:13" ht="15" customHeight="1" x14ac:dyDescent="0.3">
      <c r="A155" s="22" t="s">
        <v>138</v>
      </c>
      <c r="B155" s="23"/>
      <c r="C155" s="23"/>
      <c r="D155" s="23"/>
      <c r="E155" s="23"/>
      <c r="F155" s="23"/>
      <c r="G155" s="24"/>
      <c r="H155" s="25"/>
      <c r="I155" s="26"/>
      <c r="J155" s="67">
        <f>SUM(J153:K154)</f>
        <v>0.09</v>
      </c>
      <c r="K155" s="68"/>
    </row>
    <row r="156" spans="1:13" ht="15" customHeight="1" x14ac:dyDescent="0.3">
      <c r="A156" s="3"/>
      <c r="B156" s="3"/>
      <c r="C156" s="3"/>
      <c r="D156" s="3"/>
      <c r="E156" s="3"/>
      <c r="F156" s="3"/>
      <c r="G156" s="3"/>
      <c r="H156" s="3"/>
      <c r="I156" s="3"/>
      <c r="J156" s="3"/>
      <c r="K156" s="3"/>
    </row>
    <row r="157" spans="1:13" ht="15" customHeight="1" x14ac:dyDescent="0.3">
      <c r="A157" s="10" t="s">
        <v>63</v>
      </c>
      <c r="B157" s="10" t="s">
        <v>24</v>
      </c>
      <c r="C157" s="75" t="s">
        <v>8</v>
      </c>
      <c r="D157" s="76"/>
      <c r="E157" s="76"/>
      <c r="F157" s="76"/>
      <c r="G157" s="6" t="s">
        <v>25</v>
      </c>
      <c r="H157" s="6" t="s">
        <v>64</v>
      </c>
      <c r="I157" s="6" t="s">
        <v>65</v>
      </c>
      <c r="J157" s="62" t="s">
        <v>10</v>
      </c>
      <c r="K157" s="63"/>
    </row>
    <row r="158" spans="1:13" ht="45" customHeight="1" x14ac:dyDescent="0.3">
      <c r="A158" s="6" t="s">
        <v>107</v>
      </c>
      <c r="B158" s="27">
        <v>91531</v>
      </c>
      <c r="C158" s="84" t="str">
        <f>VLOOKUP(B158,S!$A:$D,2,FALSE)</f>
        <v>COMPACTADOR DE SOLOS DE PERCUSSÃO (SOQUETE) COM MOTOR A GASOLINA 4 TEMPOS, POTÊNCIA 4 CV - MANUTENÇÃO. AF_08/2015</v>
      </c>
      <c r="D158" s="84"/>
      <c r="E158" s="84"/>
      <c r="F158" s="85"/>
      <c r="G158" s="6" t="str">
        <f>VLOOKUP(B158,S!$A:$D,3,FALSE)</f>
        <v>H</v>
      </c>
      <c r="H158" s="20"/>
      <c r="I158" s="20">
        <f>J160</f>
        <v>0.88</v>
      </c>
      <c r="J158" s="70"/>
      <c r="K158" s="71"/>
      <c r="L158" s="20">
        <f>VLOOKUP(B158,S!$A:$D,4,FALSE)</f>
        <v>0.88</v>
      </c>
      <c r="M158" s="6" t="str">
        <f>IF(ROUND((L158-I158),2)=0,"OK, confere com a tabela.",IF(ROUND((L158-I158),2)&lt;0,"ACIMA ("&amp;TEXT(ROUND(I158*100/L158,4),"0,0000")&amp;" %) da tabela.","ABAIXO ("&amp;TEXT(ROUND(I158*100/L158,4),"0,0000")&amp;" %) da tabela."))</f>
        <v>OK, confere com a tabela.</v>
      </c>
    </row>
    <row r="159" spans="1:13" ht="30" customHeight="1" x14ac:dyDescent="0.3">
      <c r="A159" s="17" t="s">
        <v>70</v>
      </c>
      <c r="B159" s="19">
        <v>13458</v>
      </c>
      <c r="C159" s="64" t="str">
        <f>VLOOKUP(B159,IF(A159="COMPOSICAO",S!$A:$D,I!$A:$D),2,FALSE)</f>
        <v>COMPACTADOR DE SOLOS DE PERCURSAO (SOQUETE) COM MOTOR A GASOLINA 4 TEMPOS DE 4 HP (4 CV)</v>
      </c>
      <c r="D159" s="64"/>
      <c r="E159" s="64"/>
      <c r="F159" s="64"/>
      <c r="G159" s="17" t="str">
        <f>VLOOKUP(B159,IF(A159="COMPOSICAO",S!$A:$D,I!$A:$D),3,FALSE)</f>
        <v>UN</v>
      </c>
      <c r="H159" s="31">
        <v>6.6699999999999995E-5</v>
      </c>
      <c r="I159" s="18">
        <f>IF(A159="COMPOSICAO",VLOOKUP("TOTAL - "&amp;B159,COMPOSICAO_AUX_4!$A:$J,10,FALSE),VLOOKUP(B159,I!$A:$D,4,FALSE))</f>
        <v>13240.1</v>
      </c>
      <c r="J159" s="67">
        <f>TRUNC(H159*I159,2)</f>
        <v>0.88</v>
      </c>
      <c r="K159" s="68"/>
    </row>
    <row r="160" spans="1:13" ht="15" customHeight="1" x14ac:dyDescent="0.3">
      <c r="A160" s="22" t="s">
        <v>139</v>
      </c>
      <c r="B160" s="23"/>
      <c r="C160" s="23"/>
      <c r="D160" s="23"/>
      <c r="E160" s="23"/>
      <c r="F160" s="23"/>
      <c r="G160" s="24"/>
      <c r="H160" s="25"/>
      <c r="I160" s="26"/>
      <c r="J160" s="67">
        <f>SUM(J158:K159)</f>
        <v>0.88</v>
      </c>
      <c r="K160" s="68"/>
    </row>
    <row r="161" spans="1:13" ht="15" customHeight="1" x14ac:dyDescent="0.3">
      <c r="A161" s="3"/>
      <c r="B161" s="3"/>
      <c r="C161" s="3"/>
      <c r="D161" s="3"/>
      <c r="E161" s="3"/>
      <c r="F161" s="3"/>
      <c r="G161" s="3"/>
      <c r="H161" s="3"/>
      <c r="I161" s="3"/>
      <c r="J161" s="3"/>
      <c r="K161" s="3"/>
    </row>
    <row r="162" spans="1:13" ht="15" customHeight="1" x14ac:dyDescent="0.3">
      <c r="A162" s="10" t="s">
        <v>63</v>
      </c>
      <c r="B162" s="10" t="s">
        <v>24</v>
      </c>
      <c r="C162" s="75" t="s">
        <v>8</v>
      </c>
      <c r="D162" s="76"/>
      <c r="E162" s="76"/>
      <c r="F162" s="76"/>
      <c r="G162" s="6" t="s">
        <v>25</v>
      </c>
      <c r="H162" s="6" t="s">
        <v>64</v>
      </c>
      <c r="I162" s="6" t="s">
        <v>65</v>
      </c>
      <c r="J162" s="62" t="s">
        <v>10</v>
      </c>
      <c r="K162" s="63"/>
    </row>
    <row r="163" spans="1:13" ht="45" customHeight="1" x14ac:dyDescent="0.3">
      <c r="A163" s="6" t="s">
        <v>107</v>
      </c>
      <c r="B163" s="27">
        <v>91532</v>
      </c>
      <c r="C163" s="84" t="str">
        <f>VLOOKUP(B163,S!$A:$D,2,FALSE)</f>
        <v>COMPACTADOR DE SOLOS DE PERCUSSÃO (SOQUETE) COM MOTOR A GASOLINA 4 TEMPOS, POTÊNCIA 4 CV - MATERIAIS NA OPERAÇÃO. AF_08/2015</v>
      </c>
      <c r="D163" s="84"/>
      <c r="E163" s="84"/>
      <c r="F163" s="85"/>
      <c r="G163" s="6" t="str">
        <f>VLOOKUP(B163,S!$A:$D,3,FALSE)</f>
        <v>H</v>
      </c>
      <c r="H163" s="20"/>
      <c r="I163" s="20">
        <f>J165</f>
        <v>5.22</v>
      </c>
      <c r="J163" s="70"/>
      <c r="K163" s="71"/>
      <c r="L163" s="20">
        <f>VLOOKUP(B163,S!$A:$D,4,FALSE)</f>
        <v>5.22</v>
      </c>
      <c r="M163" s="6" t="str">
        <f>IF(ROUND((L163-I163),2)=0,"OK, confere com a tabela.",IF(ROUND((L163-I163),2)&lt;0,"ACIMA ("&amp;TEXT(ROUND(I163*100/L163,4),"0,0000")&amp;" %) da tabela.","ABAIXO ("&amp;TEXT(ROUND(I163*100/L163,4),"0,0000")&amp;" %) da tabela."))</f>
        <v>OK, confere com a tabela.</v>
      </c>
    </row>
    <row r="164" spans="1:13" ht="15" customHeight="1" x14ac:dyDescent="0.3">
      <c r="A164" s="17" t="s">
        <v>70</v>
      </c>
      <c r="B164" s="19">
        <v>4222</v>
      </c>
      <c r="C164" s="64" t="str">
        <f>VLOOKUP(B164,IF(A164="COMPOSICAO",S!$A:$D,I!$A:$D),2,FALSE)</f>
        <v>GASOLINA COMUM</v>
      </c>
      <c r="D164" s="64"/>
      <c r="E164" s="64"/>
      <c r="F164" s="64"/>
      <c r="G164" s="17" t="str">
        <f>VLOOKUP(B164,IF(A164="COMPOSICAO",S!$A:$D,I!$A:$D),3,FALSE)</f>
        <v>L</v>
      </c>
      <c r="H164" s="18">
        <v>1.03</v>
      </c>
      <c r="I164" s="18">
        <f>IF(A164="COMPOSICAO",VLOOKUP("TOTAL - "&amp;B164,COMPOSICAO_AUX_4!$A:$J,10,FALSE),VLOOKUP(B164,I!$A:$D,4,FALSE))</f>
        <v>5.07</v>
      </c>
      <c r="J164" s="67">
        <f>TRUNC(H164*I164,2)</f>
        <v>5.22</v>
      </c>
      <c r="K164" s="68"/>
    </row>
    <row r="165" spans="1:13" ht="15" customHeight="1" x14ac:dyDescent="0.3">
      <c r="A165" s="22" t="s">
        <v>140</v>
      </c>
      <c r="B165" s="23"/>
      <c r="C165" s="23"/>
      <c r="D165" s="23"/>
      <c r="E165" s="23"/>
      <c r="F165" s="23"/>
      <c r="G165" s="24"/>
      <c r="H165" s="25"/>
      <c r="I165" s="26"/>
      <c r="J165" s="67">
        <f>SUM(J163:K164)</f>
        <v>5.22</v>
      </c>
      <c r="K165" s="68"/>
    </row>
    <row r="166" spans="1:13" ht="15" customHeight="1" x14ac:dyDescent="0.3">
      <c r="A166" s="3"/>
      <c r="B166" s="3"/>
      <c r="C166" s="3"/>
      <c r="D166" s="3"/>
      <c r="E166" s="3"/>
      <c r="F166" s="3"/>
      <c r="G166" s="3"/>
      <c r="H166" s="3"/>
      <c r="I166" s="3"/>
      <c r="J166" s="3"/>
      <c r="K166" s="3"/>
    </row>
    <row r="167" spans="1:13" ht="15" customHeight="1" x14ac:dyDescent="0.3">
      <c r="A167" s="10" t="s">
        <v>63</v>
      </c>
      <c r="B167" s="10" t="s">
        <v>24</v>
      </c>
      <c r="C167" s="75" t="s">
        <v>8</v>
      </c>
      <c r="D167" s="76"/>
      <c r="E167" s="76"/>
      <c r="F167" s="76"/>
      <c r="G167" s="6" t="s">
        <v>25</v>
      </c>
      <c r="H167" s="6" t="s">
        <v>64</v>
      </c>
      <c r="I167" s="6" t="s">
        <v>65</v>
      </c>
      <c r="J167" s="62" t="s">
        <v>10</v>
      </c>
      <c r="K167" s="63"/>
    </row>
    <row r="168" spans="1:13" ht="45" customHeight="1" x14ac:dyDescent="0.3">
      <c r="A168" s="6" t="s">
        <v>87</v>
      </c>
      <c r="B168" s="27">
        <v>95317</v>
      </c>
      <c r="C168" s="84" t="str">
        <f>VLOOKUP(B168,S!$A:$D,2,FALSE)</f>
        <v>CURSO DE CAPACITAÇÃO PARA AUXILIAR DE ENCANADOR OU BOMBEIRO HIDRÁULICO (ENCARGOS COMPLEMENTARES) - HORISTA</v>
      </c>
      <c r="D168" s="84"/>
      <c r="E168" s="84"/>
      <c r="F168" s="85"/>
      <c r="G168" s="6" t="str">
        <f>VLOOKUP(B168,S!$A:$D,3,FALSE)</f>
        <v>H</v>
      </c>
      <c r="H168" s="20"/>
      <c r="I168" s="20">
        <f>J170</f>
        <v>0.13</v>
      </c>
      <c r="J168" s="70"/>
      <c r="K168" s="71"/>
      <c r="L168" s="20">
        <f>VLOOKUP(B168,S!$A:$D,4,FALSE)</f>
        <v>0.13</v>
      </c>
      <c r="M168" s="6" t="str">
        <f>IF(ROUND((L168-I168),2)=0,"OK, confere com a tabela.",IF(ROUND((L168-I168),2)&lt;0,"ACIMA ("&amp;TEXT(ROUND(I168*100/L168,4),"0,0000")&amp;" %) da tabela.","ABAIXO ("&amp;TEXT(ROUND(I168*100/L168,4),"0,0000")&amp;" %) da tabela."))</f>
        <v>OK, confere com a tabela.</v>
      </c>
    </row>
    <row r="169" spans="1:13" ht="15" customHeight="1" x14ac:dyDescent="0.3">
      <c r="A169" s="17" t="s">
        <v>70</v>
      </c>
      <c r="B169" s="19">
        <v>246</v>
      </c>
      <c r="C169" s="64" t="str">
        <f>VLOOKUP(B169,IF(A169="COMPOSICAO",S!$A:$D,I!$A:$D),2,FALSE)</f>
        <v>AUXILIAR DE ENCANADOR OU BOMBEIRO HIDRAULICO</v>
      </c>
      <c r="D169" s="64"/>
      <c r="E169" s="64"/>
      <c r="F169" s="64"/>
      <c r="G169" s="17" t="str">
        <f>VLOOKUP(B169,IF(A169="COMPOSICAO",S!$A:$D,I!$A:$D),3,FALSE)</f>
        <v>H</v>
      </c>
      <c r="H169" s="29">
        <v>1.2800000000000001E-2</v>
      </c>
      <c r="I169" s="18">
        <f>IF(A169="COMPOSICAO",VLOOKUP("TOTAL - "&amp;B169,COMPOSICAO_AUX_4!$A:$J,10,FALSE),VLOOKUP(B169,I!$A:$D,4,FALSE))</f>
        <v>10.58</v>
      </c>
      <c r="J169" s="67">
        <f>TRUNC(H169*I169,2)</f>
        <v>0.13</v>
      </c>
      <c r="K169" s="68"/>
    </row>
    <row r="170" spans="1:13" ht="15" customHeight="1" x14ac:dyDescent="0.3">
      <c r="A170" s="22" t="s">
        <v>141</v>
      </c>
      <c r="B170" s="23"/>
      <c r="C170" s="23"/>
      <c r="D170" s="23"/>
      <c r="E170" s="23"/>
      <c r="F170" s="23"/>
      <c r="G170" s="24"/>
      <c r="H170" s="25"/>
      <c r="I170" s="26"/>
      <c r="J170" s="67">
        <f>SUM(J168:K169)</f>
        <v>0.13</v>
      </c>
      <c r="K170" s="68"/>
    </row>
    <row r="171" spans="1:13" ht="15" customHeight="1" x14ac:dyDescent="0.3">
      <c r="A171" s="3"/>
      <c r="B171" s="3"/>
      <c r="C171" s="3"/>
      <c r="D171" s="3"/>
      <c r="E171" s="3"/>
      <c r="F171" s="3"/>
      <c r="G171" s="3"/>
      <c r="H171" s="3"/>
      <c r="I171" s="3"/>
      <c r="J171" s="3"/>
      <c r="K171" s="3"/>
    </row>
    <row r="172" spans="1:13" ht="15" customHeight="1" x14ac:dyDescent="0.3">
      <c r="A172" s="10" t="s">
        <v>63</v>
      </c>
      <c r="B172" s="10" t="s">
        <v>24</v>
      </c>
      <c r="C172" s="75" t="s">
        <v>8</v>
      </c>
      <c r="D172" s="76"/>
      <c r="E172" s="76"/>
      <c r="F172" s="76"/>
      <c r="G172" s="6" t="s">
        <v>25</v>
      </c>
      <c r="H172" s="6" t="s">
        <v>64</v>
      </c>
      <c r="I172" s="6" t="s">
        <v>65</v>
      </c>
      <c r="J172" s="62" t="s">
        <v>10</v>
      </c>
      <c r="K172" s="63"/>
    </row>
    <row r="173" spans="1:13" ht="45" customHeight="1" x14ac:dyDescent="0.3">
      <c r="A173" s="6" t="s">
        <v>87</v>
      </c>
      <c r="B173" s="27">
        <v>95335</v>
      </c>
      <c r="C173" s="84" t="str">
        <f>VLOOKUP(B173,S!$A:$D,2,FALSE)</f>
        <v>CURSO DE CAPACITAÇÃO PARA ENCANADOR OU BOMBEIRO HIDRÁULICO (ENCARGOS COMPLEMENTARES) - HORISTA</v>
      </c>
      <c r="D173" s="84"/>
      <c r="E173" s="84"/>
      <c r="F173" s="85"/>
      <c r="G173" s="6" t="str">
        <f>VLOOKUP(B173,S!$A:$D,3,FALSE)</f>
        <v>H</v>
      </c>
      <c r="H173" s="20"/>
      <c r="I173" s="20">
        <f>J175</f>
        <v>0.19</v>
      </c>
      <c r="J173" s="70"/>
      <c r="K173" s="71"/>
      <c r="L173" s="20">
        <f>VLOOKUP(B173,S!$A:$D,4,FALSE)</f>
        <v>0.19</v>
      </c>
      <c r="M173" s="6" t="str">
        <f>IF(ROUND((L173-I173),2)=0,"OK, confere com a tabela.",IF(ROUND((L173-I173),2)&lt;0,"ACIMA ("&amp;TEXT(ROUND(I173*100/L173,4),"0,0000")&amp;" %) da tabela.","ABAIXO ("&amp;TEXT(ROUND(I173*100/L173,4),"0,0000")&amp;" %) da tabela."))</f>
        <v>OK, confere com a tabela.</v>
      </c>
    </row>
    <row r="174" spans="1:13" ht="15" customHeight="1" x14ac:dyDescent="0.3">
      <c r="A174" s="17" t="s">
        <v>70</v>
      </c>
      <c r="B174" s="19">
        <v>2696</v>
      </c>
      <c r="C174" s="64" t="str">
        <f>VLOOKUP(B174,IF(A174="COMPOSICAO",S!$A:$D,I!$A:$D),2,FALSE)</f>
        <v>ENCANADOR OU BOMBEIRO HIDRAULICO</v>
      </c>
      <c r="D174" s="64"/>
      <c r="E174" s="64"/>
      <c r="F174" s="64"/>
      <c r="G174" s="17" t="str">
        <f>VLOOKUP(B174,IF(A174="COMPOSICAO",S!$A:$D,I!$A:$D),3,FALSE)</f>
        <v>H</v>
      </c>
      <c r="H174" s="29">
        <v>1.2800000000000001E-2</v>
      </c>
      <c r="I174" s="18">
        <f>IF(A174="COMPOSICAO",VLOOKUP("TOTAL - "&amp;B174,COMPOSICAO_AUX_4!$A:$J,10,FALSE),VLOOKUP(B174,I!$A:$D,4,FALSE))</f>
        <v>14.93</v>
      </c>
      <c r="J174" s="67">
        <f>TRUNC(H174*I174,2)</f>
        <v>0.19</v>
      </c>
      <c r="K174" s="68"/>
    </row>
    <row r="175" spans="1:13" ht="15" customHeight="1" x14ac:dyDescent="0.3">
      <c r="A175" s="22" t="s">
        <v>142</v>
      </c>
      <c r="B175" s="23"/>
      <c r="C175" s="23"/>
      <c r="D175" s="23"/>
      <c r="E175" s="23"/>
      <c r="F175" s="23"/>
      <c r="G175" s="24"/>
      <c r="H175" s="25"/>
      <c r="I175" s="26"/>
      <c r="J175" s="67">
        <f>SUM(J173:K174)</f>
        <v>0.19</v>
      </c>
      <c r="K175" s="68"/>
    </row>
    <row r="176" spans="1:13" ht="15" customHeight="1" x14ac:dyDescent="0.3">
      <c r="A176" s="3"/>
      <c r="B176" s="3"/>
      <c r="C176" s="3"/>
      <c r="D176" s="3"/>
      <c r="E176" s="3"/>
      <c r="F176" s="3"/>
      <c r="G176" s="3"/>
      <c r="H176" s="3"/>
      <c r="I176" s="3"/>
      <c r="J176" s="3"/>
      <c r="K176" s="3"/>
    </row>
    <row r="177" spans="1:13" ht="15" customHeight="1" x14ac:dyDescent="0.3">
      <c r="A177" s="10" t="s">
        <v>63</v>
      </c>
      <c r="B177" s="10" t="s">
        <v>24</v>
      </c>
      <c r="C177" s="75" t="s">
        <v>8</v>
      </c>
      <c r="D177" s="76"/>
      <c r="E177" s="76"/>
      <c r="F177" s="76"/>
      <c r="G177" s="6" t="s">
        <v>25</v>
      </c>
      <c r="H177" s="6" t="s">
        <v>64</v>
      </c>
      <c r="I177" s="6" t="s">
        <v>65</v>
      </c>
      <c r="J177" s="62" t="s">
        <v>10</v>
      </c>
      <c r="K177" s="63"/>
    </row>
    <row r="178" spans="1:13" ht="30" customHeight="1" x14ac:dyDescent="0.3">
      <c r="A178" s="6" t="s">
        <v>87</v>
      </c>
      <c r="B178" s="27">
        <v>88286</v>
      </c>
      <c r="C178" s="84" t="str">
        <f>VLOOKUP(B178,S!$A:$D,2,FALSE)</f>
        <v>MOTORISTA OPERADOR DE MUNCK COM ENCARGOS COMPLEMENTARES</v>
      </c>
      <c r="D178" s="84"/>
      <c r="E178" s="84"/>
      <c r="F178" s="85"/>
      <c r="G178" s="6" t="str">
        <f>VLOOKUP(B178,S!$A:$D,3,FALSE)</f>
        <v>H</v>
      </c>
      <c r="H178" s="20"/>
      <c r="I178" s="20">
        <f>J187</f>
        <v>24.47</v>
      </c>
      <c r="J178" s="70"/>
      <c r="K178" s="71"/>
      <c r="L178" s="20">
        <f>VLOOKUP(B178,S!$A:$D,4,FALSE)</f>
        <v>24.47</v>
      </c>
      <c r="M178" s="6" t="str">
        <f>IF(ROUND((L178-I178),2)=0,"OK, confere com a tabela.",IF(ROUND((L178-I178),2)&lt;0,"ACIMA ("&amp;TEXT(ROUND(I178*100/L178,4),"0,0000")&amp;" %) da tabela.","ABAIXO ("&amp;TEXT(ROUND(I178*100/L178,4),"0,0000")&amp;" %) da tabela."))</f>
        <v>OK, confere com a tabela.</v>
      </c>
    </row>
    <row r="179" spans="1:13" ht="15" customHeight="1" x14ac:dyDescent="0.3">
      <c r="A179" s="17" t="s">
        <v>70</v>
      </c>
      <c r="B179" s="19">
        <v>4096</v>
      </c>
      <c r="C179" s="64" t="str">
        <f>VLOOKUP(B179,IF(A179="COMPOSICAO",S!$A:$D,I!$A:$D),2,FALSE)</f>
        <v>MOTORISTA OPERADOR DE CAMINHAO COM MUNCK</v>
      </c>
      <c r="D179" s="64"/>
      <c r="E179" s="64"/>
      <c r="F179" s="64"/>
      <c r="G179" s="17" t="str">
        <f>VLOOKUP(B179,IF(A179="COMPOSICAO",S!$A:$D,I!$A:$D),3,FALSE)</f>
        <v>H</v>
      </c>
      <c r="H179" s="18">
        <v>1</v>
      </c>
      <c r="I179" s="18">
        <f>IF(A179="COMPOSICAO",VLOOKUP("TOTAL - "&amp;B179,COMPOSICAO_AUX_4!$A:$J,10,FALSE),VLOOKUP(B179,I!$A:$D,4,FALSE))</f>
        <v>20.43</v>
      </c>
      <c r="J179" s="67">
        <f t="shared" ref="J179:J186" si="5">TRUNC(H179*I179,2)</f>
        <v>20.43</v>
      </c>
      <c r="K179" s="68"/>
    </row>
    <row r="180" spans="1:13" ht="15" customHeight="1" x14ac:dyDescent="0.3">
      <c r="A180" s="17" t="s">
        <v>70</v>
      </c>
      <c r="B180" s="19">
        <v>37370</v>
      </c>
      <c r="C180" s="64" t="str">
        <f>VLOOKUP(B180,IF(A180="COMPOSICAO",S!$A:$D,I!$A:$D),2,FALSE)</f>
        <v>ALIMENTACAO - HORISTA (COLETADO CAIXA)</v>
      </c>
      <c r="D180" s="64"/>
      <c r="E180" s="64"/>
      <c r="F180" s="64"/>
      <c r="G180" s="17" t="str">
        <f>VLOOKUP(B180,IF(A180="COMPOSICAO",S!$A:$D,I!$A:$D),3,FALSE)</f>
        <v>H</v>
      </c>
      <c r="H180" s="18">
        <v>1</v>
      </c>
      <c r="I180" s="18">
        <f>IF(A180="COMPOSICAO",VLOOKUP("TOTAL - "&amp;B180,COMPOSICAO_AUX_4!$A:$J,10,FALSE),VLOOKUP(B180,I!$A:$D,4,FALSE))</f>
        <v>1.86</v>
      </c>
      <c r="J180" s="67">
        <f t="shared" si="5"/>
        <v>1.86</v>
      </c>
      <c r="K180" s="68"/>
    </row>
    <row r="181" spans="1:13" ht="15" customHeight="1" x14ac:dyDescent="0.3">
      <c r="A181" s="17" t="s">
        <v>70</v>
      </c>
      <c r="B181" s="19">
        <v>37371</v>
      </c>
      <c r="C181" s="64" t="str">
        <f>VLOOKUP(B181,IF(A181="COMPOSICAO",S!$A:$D,I!$A:$D),2,FALSE)</f>
        <v>TRANSPORTE - HORISTA (COLETADO CAIXA)</v>
      </c>
      <c r="D181" s="64"/>
      <c r="E181" s="64"/>
      <c r="F181" s="64"/>
      <c r="G181" s="17" t="str">
        <f>VLOOKUP(B181,IF(A181="COMPOSICAO",S!$A:$D,I!$A:$D),3,FALSE)</f>
        <v>H</v>
      </c>
      <c r="H181" s="18">
        <v>1</v>
      </c>
      <c r="I181" s="18">
        <f>IF(A181="COMPOSICAO",VLOOKUP("TOTAL - "&amp;B181,COMPOSICAO_AUX_4!$A:$J,10,FALSE),VLOOKUP(B181,I!$A:$D,4,FALSE))</f>
        <v>0.7</v>
      </c>
      <c r="J181" s="67">
        <f t="shared" si="5"/>
        <v>0.7</v>
      </c>
      <c r="K181" s="68"/>
    </row>
    <row r="182" spans="1:13" ht="15" customHeight="1" x14ac:dyDescent="0.3">
      <c r="A182" s="17" t="s">
        <v>70</v>
      </c>
      <c r="B182" s="19">
        <v>37372</v>
      </c>
      <c r="C182" s="64" t="str">
        <f>VLOOKUP(B182,IF(A182="COMPOSICAO",S!$A:$D,I!$A:$D),2,FALSE)</f>
        <v>EXAMES - HORISTA (COLETADO CAIXA)</v>
      </c>
      <c r="D182" s="64"/>
      <c r="E182" s="64"/>
      <c r="F182" s="64"/>
      <c r="G182" s="17" t="str">
        <f>VLOOKUP(B182,IF(A182="COMPOSICAO",S!$A:$D,I!$A:$D),3,FALSE)</f>
        <v>H</v>
      </c>
      <c r="H182" s="18">
        <v>1</v>
      </c>
      <c r="I182" s="18">
        <f>IF(A182="COMPOSICAO",VLOOKUP("TOTAL - "&amp;B182,COMPOSICAO_AUX_4!$A:$J,10,FALSE),VLOOKUP(B182,I!$A:$D,4,FALSE))</f>
        <v>0.55000000000000004</v>
      </c>
      <c r="J182" s="67">
        <f t="shared" si="5"/>
        <v>0.55000000000000004</v>
      </c>
      <c r="K182" s="68"/>
    </row>
    <row r="183" spans="1:13" ht="15" customHeight="1" x14ac:dyDescent="0.3">
      <c r="A183" s="17" t="s">
        <v>70</v>
      </c>
      <c r="B183" s="19">
        <v>37373</v>
      </c>
      <c r="C183" s="64" t="str">
        <f>VLOOKUP(B183,IF(A183="COMPOSICAO",S!$A:$D,I!$A:$D),2,FALSE)</f>
        <v>SEGURO - HORISTA (COLETADO CAIXA)</v>
      </c>
      <c r="D183" s="64"/>
      <c r="E183" s="64"/>
      <c r="F183" s="64"/>
      <c r="G183" s="17" t="str">
        <f>VLOOKUP(B183,IF(A183="COMPOSICAO",S!$A:$D,I!$A:$D),3,FALSE)</f>
        <v>H</v>
      </c>
      <c r="H183" s="18">
        <v>1</v>
      </c>
      <c r="I183" s="18">
        <f>IF(A183="COMPOSICAO",VLOOKUP("TOTAL - "&amp;B183,COMPOSICAO_AUX_4!$A:$J,10,FALSE),VLOOKUP(B183,I!$A:$D,4,FALSE))</f>
        <v>0.06</v>
      </c>
      <c r="J183" s="67">
        <f t="shared" si="5"/>
        <v>0.06</v>
      </c>
      <c r="K183" s="68"/>
    </row>
    <row r="184" spans="1:13" ht="45" customHeight="1" x14ac:dyDescent="0.3">
      <c r="A184" s="17" t="s">
        <v>70</v>
      </c>
      <c r="B184" s="19">
        <v>43464</v>
      </c>
      <c r="C184" s="64" t="str">
        <f>VLOOKUP(B184,IF(A184="COMPOSICAO",S!$A:$D,I!$A:$D),2,FALSE)</f>
        <v>FERRAMENTAS - FAMILIA OPERADOR ESCAVADEIRA - HORISTA (ENCARGOS COMPLEMENTARES - COLETADO CAIXA)</v>
      </c>
      <c r="D184" s="64"/>
      <c r="E184" s="64"/>
      <c r="F184" s="64"/>
      <c r="G184" s="17" t="str">
        <f>VLOOKUP(B184,IF(A184="COMPOSICAO",S!$A:$D,I!$A:$D),3,FALSE)</f>
        <v>H</v>
      </c>
      <c r="H184" s="18">
        <v>1</v>
      </c>
      <c r="I184" s="18">
        <f>IF(A184="COMPOSICAO",VLOOKUP("TOTAL - "&amp;B184,COMPOSICAO_AUX_4!$A:$J,10,FALSE),VLOOKUP(B184,I!$A:$D,4,FALSE))</f>
        <v>0.01</v>
      </c>
      <c r="J184" s="67">
        <f t="shared" si="5"/>
        <v>0.01</v>
      </c>
      <c r="K184" s="68"/>
    </row>
    <row r="185" spans="1:13" ht="30" customHeight="1" x14ac:dyDescent="0.3">
      <c r="A185" s="17" t="s">
        <v>70</v>
      </c>
      <c r="B185" s="19">
        <v>43488</v>
      </c>
      <c r="C185" s="64" t="str">
        <f>VLOOKUP(B185,IF(A185="COMPOSICAO",S!$A:$D,I!$A:$D),2,FALSE)</f>
        <v>EPI - FAMILIA OPERADOR ESCAVADEIRA - HORISTA (ENCARGOS COMPLEMENTARES - COLETADO CAIXA)</v>
      </c>
      <c r="D185" s="64"/>
      <c r="E185" s="64"/>
      <c r="F185" s="64"/>
      <c r="G185" s="17" t="str">
        <f>VLOOKUP(B185,IF(A185="COMPOSICAO",S!$A:$D,I!$A:$D),3,FALSE)</f>
        <v>H</v>
      </c>
      <c r="H185" s="18">
        <v>1</v>
      </c>
      <c r="I185" s="18">
        <f>IF(A185="COMPOSICAO",VLOOKUP("TOTAL - "&amp;B185,COMPOSICAO_AUX_4!$A:$J,10,FALSE),VLOOKUP(B185,I!$A:$D,4,FALSE))</f>
        <v>0.63</v>
      </c>
      <c r="J185" s="67">
        <f t="shared" si="5"/>
        <v>0.63</v>
      </c>
      <c r="K185" s="68"/>
    </row>
    <row r="186" spans="1:13" ht="45" customHeight="1" x14ac:dyDescent="0.3">
      <c r="A186" s="17" t="s">
        <v>71</v>
      </c>
      <c r="B186" s="19">
        <v>95351</v>
      </c>
      <c r="C186" s="64" t="str">
        <f>VLOOKUP(B186,IF(A186="COMPOSICAO",S!$A:$D,I!$A:$D),2,FALSE)</f>
        <v>CURSO DE CAPACITAÇÃO PARA MOTORISTA OPERADOR DE MUNCK (ENCARGOS COMPLEMENTARES) - HORISTA</v>
      </c>
      <c r="D186" s="64"/>
      <c r="E186" s="64"/>
      <c r="F186" s="64"/>
      <c r="G186" s="17" t="str">
        <f>VLOOKUP(B186,IF(A186="COMPOSICAO",S!$A:$D,I!$A:$D),3,FALSE)</f>
        <v>H</v>
      </c>
      <c r="H186" s="18">
        <v>1</v>
      </c>
      <c r="I186" s="18">
        <f>IF(A186="COMPOSICAO",VLOOKUP("TOTAL - "&amp;B186,COMPOSICAO_AUX_4!$A:$J,10,FALSE),VLOOKUP(B186,I!$A:$D,4,FALSE))</f>
        <v>0.23</v>
      </c>
      <c r="J186" s="67">
        <f t="shared" si="5"/>
        <v>0.23</v>
      </c>
      <c r="K186" s="68"/>
    </row>
    <row r="187" spans="1:13" ht="15" customHeight="1" x14ac:dyDescent="0.3">
      <c r="A187" s="22" t="s">
        <v>143</v>
      </c>
      <c r="B187" s="23"/>
      <c r="C187" s="23"/>
      <c r="D187" s="23"/>
      <c r="E187" s="23"/>
      <c r="F187" s="23"/>
      <c r="G187" s="24"/>
      <c r="H187" s="25"/>
      <c r="I187" s="26"/>
      <c r="J187" s="67">
        <f>SUM(J178:K186)</f>
        <v>24.47</v>
      </c>
      <c r="K187" s="68"/>
    </row>
    <row r="188" spans="1:13" ht="15" customHeight="1" x14ac:dyDescent="0.3">
      <c r="A188" s="3"/>
      <c r="B188" s="3"/>
      <c r="C188" s="3"/>
      <c r="D188" s="3"/>
      <c r="E188" s="3"/>
      <c r="F188" s="3"/>
      <c r="G188" s="3"/>
      <c r="H188" s="3"/>
      <c r="I188" s="3"/>
      <c r="J188" s="3"/>
      <c r="K188" s="3"/>
    </row>
    <row r="189" spans="1:13" ht="15" customHeight="1" x14ac:dyDescent="0.3">
      <c r="A189" s="10" t="s">
        <v>63</v>
      </c>
      <c r="B189" s="10" t="s">
        <v>24</v>
      </c>
      <c r="C189" s="75" t="s">
        <v>8</v>
      </c>
      <c r="D189" s="76"/>
      <c r="E189" s="76"/>
      <c r="F189" s="76"/>
      <c r="G189" s="6" t="s">
        <v>25</v>
      </c>
      <c r="H189" s="6" t="s">
        <v>64</v>
      </c>
      <c r="I189" s="6" t="s">
        <v>65</v>
      </c>
      <c r="J189" s="62" t="s">
        <v>10</v>
      </c>
      <c r="K189" s="63"/>
    </row>
    <row r="190" spans="1:13" ht="75" customHeight="1" x14ac:dyDescent="0.3">
      <c r="A190" s="6" t="s">
        <v>107</v>
      </c>
      <c r="B190" s="27">
        <v>89259</v>
      </c>
      <c r="C190" s="84" t="str">
        <f>VLOOKUP(B190,S!$A:$D,2,FALSE)</f>
        <v>GUINDAUTO HIDRÁULICO, CAPACIDADE MÁXIMA DE CARGA 6200 KG, MOMENTO MÁXIMO DE CARGA 11,7 TM, ALCANCE MÁXIMO HORIZONTAL 9,70 M, INCLUSIVE CAMINHÃO TOCO PBT 16.000 KG, POTÊNCIA DE 189 CV - DEPRECIAÇÃO. AF_06/2014</v>
      </c>
      <c r="D190" s="84"/>
      <c r="E190" s="84"/>
      <c r="F190" s="85"/>
      <c r="G190" s="6" t="str">
        <f>VLOOKUP(B190,S!$A:$D,3,FALSE)</f>
        <v>H</v>
      </c>
      <c r="H190" s="20"/>
      <c r="I190" s="20">
        <f>J193</f>
        <v>11.71</v>
      </c>
      <c r="J190" s="70"/>
      <c r="K190" s="71"/>
      <c r="L190" s="20">
        <f>VLOOKUP(B190,S!$A:$D,4,FALSE)</f>
        <v>11.71</v>
      </c>
      <c r="M190" s="6" t="str">
        <f>IF(ROUND((L190-I190),2)=0,"OK, confere com a tabela.",IF(ROUND((L190-I190),2)&lt;0,"ACIMA ("&amp;TEXT(ROUND(I190*100/L190,4),"0,0000")&amp;" %) da tabela.","ABAIXO ("&amp;TEXT(ROUND(I190*100/L190,4),"0,0000")&amp;" %) da tabela."))</f>
        <v>OK, confere com a tabela.</v>
      </c>
    </row>
    <row r="191" spans="1:13" ht="75" customHeight="1" x14ac:dyDescent="0.3">
      <c r="A191" s="17" t="s">
        <v>70</v>
      </c>
      <c r="B191" s="19">
        <v>3363</v>
      </c>
      <c r="C191" s="64" t="str">
        <f>VLOOKUP(B191,IF(A191="COMPOSICAO",S!$A:$D,I!$A:$D),2,FALSE)</f>
        <v>GUINDAUTO HIDRAULICO, CAPACIDADE MAXIMA DE CARGA 6200 KG, MOMENTO MAXIMO DE CARGA 11,7 TM , ALCANCE MAXIMO HORIZONTAL  9,70 M, PARA MONTAGEM SOBRE CHASSI DE CAMINHAO PBT MINIMO 13000 KG (INCLUI MONTAGEM, NAO INCLUI CAMINHAO)</v>
      </c>
      <c r="D191" s="64"/>
      <c r="E191" s="64"/>
      <c r="F191" s="64"/>
      <c r="G191" s="17" t="str">
        <f>VLOOKUP(B191,IF(A191="COMPOSICAO",S!$A:$D,I!$A:$D),3,FALSE)</f>
        <v>UN</v>
      </c>
      <c r="H191" s="31">
        <v>3.43E-5</v>
      </c>
      <c r="I191" s="18">
        <f>IF(A191="COMPOSICAO",VLOOKUP("TOTAL - "&amp;B191,COMPOSICAO_AUX_4!$A:$J,10,FALSE),VLOOKUP(B191,I!$A:$D,4,FALSE))</f>
        <v>82750</v>
      </c>
      <c r="J191" s="67">
        <f>TRUNC(H191*I191,2)</f>
        <v>2.83</v>
      </c>
      <c r="K191" s="68"/>
    </row>
    <row r="192" spans="1:13" ht="60" customHeight="1" x14ac:dyDescent="0.3">
      <c r="A192" s="17" t="s">
        <v>70</v>
      </c>
      <c r="B192" s="19">
        <v>37761</v>
      </c>
      <c r="C192" s="64" t="str">
        <f>VLOOKUP(B192,IF(A192="COMPOSICAO",S!$A:$D,I!$A:$D),2,FALSE)</f>
        <v>CAMINHAO TOCO, PESO BRUTO TOTAL 16000 KG, CARGA UTIL MAXIMA DE 10685 KG, DISTANCIA ENTRE EIXOS 4,8M, POTENCIA 189 CV (INCLUI CABINE E CHASSI, NAO INCLUI CARROCERIA)</v>
      </c>
      <c r="D192" s="64"/>
      <c r="E192" s="64"/>
      <c r="F192" s="64"/>
      <c r="G192" s="17" t="str">
        <f>VLOOKUP(B192,IF(A192="COMPOSICAO",S!$A:$D,I!$A:$D),3,FALSE)</f>
        <v>UN</v>
      </c>
      <c r="H192" s="31">
        <v>3.43E-5</v>
      </c>
      <c r="I192" s="18">
        <f>IF(A192="COMPOSICAO",VLOOKUP("TOTAL - "&amp;B192,COMPOSICAO_AUX_4!$A:$J,10,FALSE),VLOOKUP(B192,I!$A:$D,4,FALSE))</f>
        <v>258909.48</v>
      </c>
      <c r="J192" s="67">
        <f>TRUNC(H192*I192,2)</f>
        <v>8.8800000000000008</v>
      </c>
      <c r="K192" s="68"/>
    </row>
    <row r="193" spans="1:13" ht="15" customHeight="1" x14ac:dyDescent="0.3">
      <c r="A193" s="22" t="s">
        <v>144</v>
      </c>
      <c r="B193" s="23"/>
      <c r="C193" s="23"/>
      <c r="D193" s="23"/>
      <c r="E193" s="23"/>
      <c r="F193" s="23"/>
      <c r="G193" s="24"/>
      <c r="H193" s="25"/>
      <c r="I193" s="26"/>
      <c r="J193" s="67">
        <f>SUM(J190:K192)</f>
        <v>11.71</v>
      </c>
      <c r="K193" s="68"/>
    </row>
    <row r="194" spans="1:13" ht="15" customHeight="1" x14ac:dyDescent="0.3">
      <c r="A194" s="3"/>
      <c r="B194" s="3"/>
      <c r="C194" s="3"/>
      <c r="D194" s="3"/>
      <c r="E194" s="3"/>
      <c r="F194" s="3"/>
      <c r="G194" s="3"/>
      <c r="H194" s="3"/>
      <c r="I194" s="3"/>
      <c r="J194" s="3"/>
      <c r="K194" s="3"/>
    </row>
    <row r="195" spans="1:13" ht="15" customHeight="1" x14ac:dyDescent="0.3">
      <c r="A195" s="10" t="s">
        <v>63</v>
      </c>
      <c r="B195" s="10" t="s">
        <v>24</v>
      </c>
      <c r="C195" s="75" t="s">
        <v>8</v>
      </c>
      <c r="D195" s="76"/>
      <c r="E195" s="76"/>
      <c r="F195" s="76"/>
      <c r="G195" s="6" t="s">
        <v>25</v>
      </c>
      <c r="H195" s="6" t="s">
        <v>64</v>
      </c>
      <c r="I195" s="6" t="s">
        <v>65</v>
      </c>
      <c r="J195" s="62" t="s">
        <v>10</v>
      </c>
      <c r="K195" s="63"/>
    </row>
    <row r="196" spans="1:13" ht="75" customHeight="1" x14ac:dyDescent="0.3">
      <c r="A196" s="6" t="s">
        <v>107</v>
      </c>
      <c r="B196" s="27">
        <v>89260</v>
      </c>
      <c r="C196" s="84" t="str">
        <f>VLOOKUP(B196,S!$A:$D,2,FALSE)</f>
        <v>GUINDAUTO HIDRÁULICO, CAPACIDADE MÁXIMA DE CARGA 6200 KG, MOMENTO MÁXIMO DE CARGA 11,7 TM, ALCANCE MÁXIMO HORIZONTAL 9,70 M, INCLUSIVE CAMINHÃO TOCO PBT 16.000 KG, POTÊNCIA DE 189 CV - JUROS. AF_06/2014</v>
      </c>
      <c r="D196" s="84"/>
      <c r="E196" s="84"/>
      <c r="F196" s="85"/>
      <c r="G196" s="6" t="str">
        <f>VLOOKUP(B196,S!$A:$D,3,FALSE)</f>
        <v>H</v>
      </c>
      <c r="H196" s="20"/>
      <c r="I196" s="20">
        <f>J199</f>
        <v>2.4500000000000002</v>
      </c>
      <c r="J196" s="70"/>
      <c r="K196" s="71"/>
      <c r="L196" s="20">
        <f>VLOOKUP(B196,S!$A:$D,4,FALSE)</f>
        <v>2.4500000000000002</v>
      </c>
      <c r="M196" s="6" t="str">
        <f>IF(ROUND((L196-I196),2)=0,"OK, confere com a tabela.",IF(ROUND((L196-I196),2)&lt;0,"ACIMA ("&amp;TEXT(ROUND(I196*100/L196,4),"0,0000")&amp;" %) da tabela.","ABAIXO ("&amp;TEXT(ROUND(I196*100/L196,4),"0,0000")&amp;" %) da tabela."))</f>
        <v>OK, confere com a tabela.</v>
      </c>
    </row>
    <row r="197" spans="1:13" ht="75" customHeight="1" x14ac:dyDescent="0.3">
      <c r="A197" s="17" t="s">
        <v>70</v>
      </c>
      <c r="B197" s="19">
        <v>3363</v>
      </c>
      <c r="C197" s="64" t="str">
        <f>VLOOKUP(B197,IF(A197="COMPOSICAO",S!$A:$D,I!$A:$D),2,FALSE)</f>
        <v>GUINDAUTO HIDRAULICO, CAPACIDADE MAXIMA DE CARGA 6200 KG, MOMENTO MAXIMO DE CARGA 11,7 TM , ALCANCE MAXIMO HORIZONTAL  9,70 M, PARA MONTAGEM SOBRE CHASSI DE CAMINHAO PBT MINIMO 13000 KG (INCLUI MONTAGEM, NAO INCLUI CAMINHAO)</v>
      </c>
      <c r="D197" s="64"/>
      <c r="E197" s="64"/>
      <c r="F197" s="64"/>
      <c r="G197" s="17" t="str">
        <f>VLOOKUP(B197,IF(A197="COMPOSICAO",S!$A:$D,I!$A:$D),3,FALSE)</f>
        <v>UN</v>
      </c>
      <c r="H197" s="31">
        <v>7.1999999999999997E-6</v>
      </c>
      <c r="I197" s="18">
        <f>IF(A197="COMPOSICAO",VLOOKUP("TOTAL - "&amp;B197,COMPOSICAO_AUX_4!$A:$J,10,FALSE),VLOOKUP(B197,I!$A:$D,4,FALSE))</f>
        <v>82750</v>
      </c>
      <c r="J197" s="67">
        <f>TRUNC(H197*I197,2)</f>
        <v>0.59</v>
      </c>
      <c r="K197" s="68"/>
    </row>
    <row r="198" spans="1:13" ht="60" customHeight="1" x14ac:dyDescent="0.3">
      <c r="A198" s="17" t="s">
        <v>70</v>
      </c>
      <c r="B198" s="19">
        <v>37761</v>
      </c>
      <c r="C198" s="64" t="str">
        <f>VLOOKUP(B198,IF(A198="COMPOSICAO",S!$A:$D,I!$A:$D),2,FALSE)</f>
        <v>CAMINHAO TOCO, PESO BRUTO TOTAL 16000 KG, CARGA UTIL MAXIMA DE 10685 KG, DISTANCIA ENTRE EIXOS 4,8M, POTENCIA 189 CV (INCLUI CABINE E CHASSI, NAO INCLUI CARROCERIA)</v>
      </c>
      <c r="D198" s="64"/>
      <c r="E198" s="64"/>
      <c r="F198" s="64"/>
      <c r="G198" s="17" t="str">
        <f>VLOOKUP(B198,IF(A198="COMPOSICAO",S!$A:$D,I!$A:$D),3,FALSE)</f>
        <v>UN</v>
      </c>
      <c r="H198" s="31">
        <v>7.1999999999999997E-6</v>
      </c>
      <c r="I198" s="18">
        <f>IF(A198="COMPOSICAO",VLOOKUP("TOTAL - "&amp;B198,COMPOSICAO_AUX_4!$A:$J,10,FALSE),VLOOKUP(B198,I!$A:$D,4,FALSE))</f>
        <v>258909.48</v>
      </c>
      <c r="J198" s="67">
        <f>TRUNC(H198*I198,2)</f>
        <v>1.86</v>
      </c>
      <c r="K198" s="68"/>
    </row>
    <row r="199" spans="1:13" ht="15" customHeight="1" x14ac:dyDescent="0.3">
      <c r="A199" s="22" t="s">
        <v>145</v>
      </c>
      <c r="B199" s="23"/>
      <c r="C199" s="23"/>
      <c r="D199" s="23"/>
      <c r="E199" s="23"/>
      <c r="F199" s="23"/>
      <c r="G199" s="24"/>
      <c r="H199" s="25"/>
      <c r="I199" s="26"/>
      <c r="J199" s="67">
        <f>SUM(J196:K198)</f>
        <v>2.4500000000000002</v>
      </c>
      <c r="K199" s="68"/>
    </row>
    <row r="200" spans="1:13" ht="15" customHeight="1" x14ac:dyDescent="0.3">
      <c r="A200" s="3"/>
      <c r="B200" s="3"/>
      <c r="C200" s="3"/>
      <c r="D200" s="3"/>
      <c r="E200" s="3"/>
      <c r="F200" s="3"/>
      <c r="G200" s="3"/>
      <c r="H200" s="3"/>
      <c r="I200" s="3"/>
      <c r="J200" s="3"/>
      <c r="K200" s="3"/>
    </row>
    <row r="201" spans="1:13" ht="15" customHeight="1" x14ac:dyDescent="0.3">
      <c r="A201" s="10" t="s">
        <v>63</v>
      </c>
      <c r="B201" s="10" t="s">
        <v>24</v>
      </c>
      <c r="C201" s="75" t="s">
        <v>8</v>
      </c>
      <c r="D201" s="76"/>
      <c r="E201" s="76"/>
      <c r="F201" s="76"/>
      <c r="G201" s="6" t="s">
        <v>25</v>
      </c>
      <c r="H201" s="6" t="s">
        <v>64</v>
      </c>
      <c r="I201" s="6" t="s">
        <v>65</v>
      </c>
      <c r="J201" s="62" t="s">
        <v>10</v>
      </c>
      <c r="K201" s="63"/>
    </row>
    <row r="202" spans="1:13" ht="75" customHeight="1" x14ac:dyDescent="0.3">
      <c r="A202" s="6" t="s">
        <v>107</v>
      </c>
      <c r="B202" s="27">
        <v>89262</v>
      </c>
      <c r="C202" s="84" t="str">
        <f>VLOOKUP(B202,S!$A:$D,2,FALSE)</f>
        <v>GUINDAUTO HIDRÁULICO, CAPACIDADE MÁXIMA DE CARGA 6200 KG, MOMENTO MÁXIMO DE CARGA 11,7 TM, ALCANCE MÁXIMO HORIZONTAL 9,70 M, INCLUSIVE CAMINHÃO TOCO PBT 16.000 KG, POTÊNCIA DE 189 CV - MANUTENÇÃO. AF_06/2014</v>
      </c>
      <c r="D202" s="84"/>
      <c r="E202" s="84"/>
      <c r="F202" s="85"/>
      <c r="G202" s="6" t="str">
        <f>VLOOKUP(B202,S!$A:$D,3,FALSE)</f>
        <v>H</v>
      </c>
      <c r="H202" s="20"/>
      <c r="I202" s="20">
        <f>J205</f>
        <v>21.96</v>
      </c>
      <c r="J202" s="70"/>
      <c r="K202" s="71"/>
      <c r="L202" s="20">
        <f>VLOOKUP(B202,S!$A:$D,4,FALSE)</f>
        <v>21.96</v>
      </c>
      <c r="M202" s="6" t="str">
        <f>IF(ROUND((L202-I202),2)=0,"OK, confere com a tabela.",IF(ROUND((L202-I202),2)&lt;0,"ACIMA ("&amp;TEXT(ROUND(I202*100/L202,4),"0,0000")&amp;" %) da tabela.","ABAIXO ("&amp;TEXT(ROUND(I202*100/L202,4),"0,0000")&amp;" %) da tabela."))</f>
        <v>OK, confere com a tabela.</v>
      </c>
    </row>
    <row r="203" spans="1:13" ht="75" customHeight="1" x14ac:dyDescent="0.3">
      <c r="A203" s="17" t="s">
        <v>70</v>
      </c>
      <c r="B203" s="19">
        <v>3363</v>
      </c>
      <c r="C203" s="64" t="str">
        <f>VLOOKUP(B203,IF(A203="COMPOSICAO",S!$A:$D,I!$A:$D),2,FALSE)</f>
        <v>GUINDAUTO HIDRAULICO, CAPACIDADE MAXIMA DE CARGA 6200 KG, MOMENTO MAXIMO DE CARGA 11,7 TM , ALCANCE MAXIMO HORIZONTAL  9,70 M, PARA MONTAGEM SOBRE CHASSI DE CAMINHAO PBT MINIMO 13000 KG (INCLUI MONTAGEM, NAO INCLUI CAMINHAO)</v>
      </c>
      <c r="D203" s="64"/>
      <c r="E203" s="64"/>
      <c r="F203" s="64"/>
      <c r="G203" s="17" t="str">
        <f>VLOOKUP(B203,IF(A203="COMPOSICAO",S!$A:$D,I!$A:$D),3,FALSE)</f>
        <v>UN</v>
      </c>
      <c r="H203" s="31">
        <v>6.4300000000000004E-5</v>
      </c>
      <c r="I203" s="18">
        <f>IF(A203="COMPOSICAO",VLOOKUP("TOTAL - "&amp;B203,COMPOSICAO_AUX_4!$A:$J,10,FALSE),VLOOKUP(B203,I!$A:$D,4,FALSE))</f>
        <v>82750</v>
      </c>
      <c r="J203" s="67">
        <f>TRUNC(H203*I203,2)</f>
        <v>5.32</v>
      </c>
      <c r="K203" s="68"/>
    </row>
    <row r="204" spans="1:13" ht="60" customHeight="1" x14ac:dyDescent="0.3">
      <c r="A204" s="17" t="s">
        <v>70</v>
      </c>
      <c r="B204" s="19">
        <v>37761</v>
      </c>
      <c r="C204" s="64" t="str">
        <f>VLOOKUP(B204,IF(A204="COMPOSICAO",S!$A:$D,I!$A:$D),2,FALSE)</f>
        <v>CAMINHAO TOCO, PESO BRUTO TOTAL 16000 KG, CARGA UTIL MAXIMA DE 10685 KG, DISTANCIA ENTRE EIXOS 4,8M, POTENCIA 189 CV (INCLUI CABINE E CHASSI, NAO INCLUI CARROCERIA)</v>
      </c>
      <c r="D204" s="64"/>
      <c r="E204" s="64"/>
      <c r="F204" s="64"/>
      <c r="G204" s="17" t="str">
        <f>VLOOKUP(B204,IF(A204="COMPOSICAO",S!$A:$D,I!$A:$D),3,FALSE)</f>
        <v>UN</v>
      </c>
      <c r="H204" s="31">
        <v>6.4300000000000004E-5</v>
      </c>
      <c r="I204" s="18">
        <f>IF(A204="COMPOSICAO",VLOOKUP("TOTAL - "&amp;B204,COMPOSICAO_AUX_4!$A:$J,10,FALSE),VLOOKUP(B204,I!$A:$D,4,FALSE))</f>
        <v>258909.48</v>
      </c>
      <c r="J204" s="67">
        <f>TRUNC(H204*I204,2)</f>
        <v>16.64</v>
      </c>
      <c r="K204" s="68"/>
    </row>
    <row r="205" spans="1:13" ht="15" customHeight="1" x14ac:dyDescent="0.3">
      <c r="A205" s="22" t="s">
        <v>146</v>
      </c>
      <c r="B205" s="23"/>
      <c r="C205" s="23"/>
      <c r="D205" s="23"/>
      <c r="E205" s="23"/>
      <c r="F205" s="23"/>
      <c r="G205" s="24"/>
      <c r="H205" s="25"/>
      <c r="I205" s="26"/>
      <c r="J205" s="67">
        <f>SUM(J202:K204)</f>
        <v>21.96</v>
      </c>
      <c r="K205" s="68"/>
    </row>
    <row r="206" spans="1:13" ht="15" customHeight="1" x14ac:dyDescent="0.3">
      <c r="A206" s="3"/>
      <c r="B206" s="3"/>
      <c r="C206" s="3"/>
      <c r="D206" s="3"/>
      <c r="E206" s="3"/>
      <c r="F206" s="3"/>
      <c r="G206" s="3"/>
      <c r="H206" s="3"/>
      <c r="I206" s="3"/>
      <c r="J206" s="3"/>
      <c r="K206" s="3"/>
    </row>
    <row r="207" spans="1:13" ht="15" customHeight="1" x14ac:dyDescent="0.3">
      <c r="A207" s="10" t="s">
        <v>63</v>
      </c>
      <c r="B207" s="10" t="s">
        <v>24</v>
      </c>
      <c r="C207" s="75" t="s">
        <v>8</v>
      </c>
      <c r="D207" s="76"/>
      <c r="E207" s="76"/>
      <c r="F207" s="76"/>
      <c r="G207" s="6" t="s">
        <v>25</v>
      </c>
      <c r="H207" s="6" t="s">
        <v>64</v>
      </c>
      <c r="I207" s="6" t="s">
        <v>65</v>
      </c>
      <c r="J207" s="62" t="s">
        <v>10</v>
      </c>
      <c r="K207" s="63"/>
    </row>
    <row r="208" spans="1:13" ht="75" customHeight="1" x14ac:dyDescent="0.3">
      <c r="A208" s="6" t="s">
        <v>107</v>
      </c>
      <c r="B208" s="27">
        <v>91466</v>
      </c>
      <c r="C208" s="84" t="str">
        <f>VLOOKUP(B208,S!$A:$D,2,FALSE)</f>
        <v>GUINDAUTO HIDRÁULICO, CAPACIDADE MÁXIMA DE CARGA 6200 KG, MOMENTO MÁXIMO DE CARGA 11,7 TM, ALCANCE MÁXIMO HORIZONTAL 9,70 M, INCLUSIVE CAMINHÃO TOCO PBT 16.000 KG, POTÊNCIA DE 189 CV - IMPOSTOS E SEGUROS. AF_08/2015</v>
      </c>
      <c r="D208" s="84"/>
      <c r="E208" s="84"/>
      <c r="F208" s="85"/>
      <c r="G208" s="6" t="str">
        <f>VLOOKUP(B208,S!$A:$D,3,FALSE)</f>
        <v>H</v>
      </c>
      <c r="H208" s="20"/>
      <c r="I208" s="20">
        <f>J211</f>
        <v>0.95</v>
      </c>
      <c r="J208" s="70"/>
      <c r="K208" s="71"/>
      <c r="L208" s="20">
        <f>VLOOKUP(B208,S!$A:$D,4,FALSE)</f>
        <v>0.95</v>
      </c>
      <c r="M208" s="6" t="str">
        <f>IF(ROUND((L208-I208),2)=0,"OK, confere com a tabela.",IF(ROUND((L208-I208),2)&lt;0,"ACIMA ("&amp;TEXT(ROUND(I208*100/L208,4),"0,0000")&amp;" %) da tabela.","ABAIXO ("&amp;TEXT(ROUND(I208*100/L208,4),"0,0000")&amp;" %) da tabela."))</f>
        <v>OK, confere com a tabela.</v>
      </c>
    </row>
    <row r="209" spans="1:13" ht="75" customHeight="1" x14ac:dyDescent="0.3">
      <c r="A209" s="17" t="s">
        <v>70</v>
      </c>
      <c r="B209" s="19">
        <v>3363</v>
      </c>
      <c r="C209" s="64" t="str">
        <f>VLOOKUP(B209,IF(A209="COMPOSICAO",S!$A:$D,I!$A:$D),2,FALSE)</f>
        <v>GUINDAUTO HIDRAULICO, CAPACIDADE MAXIMA DE CARGA 6200 KG, MOMENTO MAXIMO DE CARGA 11,7 TM , ALCANCE MAXIMO HORIZONTAL  9,70 M, PARA MONTAGEM SOBRE CHASSI DE CAMINHAO PBT MINIMO 13000 KG (INCLUI MONTAGEM, NAO INCLUI CAMINHAO)</v>
      </c>
      <c r="D209" s="64"/>
      <c r="E209" s="64"/>
      <c r="F209" s="64"/>
      <c r="G209" s="17" t="str">
        <f>VLOOKUP(B209,IF(A209="COMPOSICAO",S!$A:$D,I!$A:$D),3,FALSE)</f>
        <v>UN</v>
      </c>
      <c r="H209" s="31">
        <v>2.7999999999999999E-6</v>
      </c>
      <c r="I209" s="18">
        <f>IF(A209="COMPOSICAO",VLOOKUP("TOTAL - "&amp;B209,COMPOSICAO_AUX_4!$A:$J,10,FALSE),VLOOKUP(B209,I!$A:$D,4,FALSE))</f>
        <v>82750</v>
      </c>
      <c r="J209" s="67">
        <f>TRUNC(H209*I209,2)</f>
        <v>0.23</v>
      </c>
      <c r="K209" s="68"/>
    </row>
    <row r="210" spans="1:13" ht="60" customHeight="1" x14ac:dyDescent="0.3">
      <c r="A210" s="17" t="s">
        <v>70</v>
      </c>
      <c r="B210" s="19">
        <v>37761</v>
      </c>
      <c r="C210" s="64" t="str">
        <f>VLOOKUP(B210,IF(A210="COMPOSICAO",S!$A:$D,I!$A:$D),2,FALSE)</f>
        <v>CAMINHAO TOCO, PESO BRUTO TOTAL 16000 KG, CARGA UTIL MAXIMA DE 10685 KG, DISTANCIA ENTRE EIXOS 4,8M, POTENCIA 189 CV (INCLUI CABINE E CHASSI, NAO INCLUI CARROCERIA)</v>
      </c>
      <c r="D210" s="64"/>
      <c r="E210" s="64"/>
      <c r="F210" s="64"/>
      <c r="G210" s="17" t="str">
        <f>VLOOKUP(B210,IF(A210="COMPOSICAO",S!$A:$D,I!$A:$D),3,FALSE)</f>
        <v>UN</v>
      </c>
      <c r="H210" s="31">
        <v>2.7999999999999999E-6</v>
      </c>
      <c r="I210" s="18">
        <f>IF(A210="COMPOSICAO",VLOOKUP("TOTAL - "&amp;B210,COMPOSICAO_AUX_4!$A:$J,10,FALSE),VLOOKUP(B210,I!$A:$D,4,FALSE))</f>
        <v>258909.48</v>
      </c>
      <c r="J210" s="67">
        <f>TRUNC(H210*I210,2)</f>
        <v>0.72</v>
      </c>
      <c r="K210" s="68"/>
    </row>
    <row r="211" spans="1:13" ht="15" customHeight="1" x14ac:dyDescent="0.3">
      <c r="A211" s="22" t="s">
        <v>147</v>
      </c>
      <c r="B211" s="23"/>
      <c r="C211" s="23"/>
      <c r="D211" s="23"/>
      <c r="E211" s="23"/>
      <c r="F211" s="23"/>
      <c r="G211" s="24"/>
      <c r="H211" s="25"/>
      <c r="I211" s="26"/>
      <c r="J211" s="67">
        <f>SUM(J208:K210)</f>
        <v>0.95</v>
      </c>
      <c r="K211" s="68"/>
    </row>
    <row r="212" spans="1:13" ht="15" customHeight="1" x14ac:dyDescent="0.3">
      <c r="A212" s="3"/>
      <c r="B212" s="3"/>
      <c r="C212" s="3"/>
      <c r="D212" s="3"/>
      <c r="E212" s="3"/>
      <c r="F212" s="3"/>
      <c r="G212" s="3"/>
      <c r="H212" s="3"/>
      <c r="I212" s="3"/>
      <c r="J212" s="3"/>
      <c r="K212" s="3"/>
    </row>
    <row r="213" spans="1:13" ht="15" customHeight="1" x14ac:dyDescent="0.3">
      <c r="A213" s="10" t="s">
        <v>63</v>
      </c>
      <c r="B213" s="10" t="s">
        <v>24</v>
      </c>
      <c r="C213" s="75" t="s">
        <v>8</v>
      </c>
      <c r="D213" s="76"/>
      <c r="E213" s="76"/>
      <c r="F213" s="76"/>
      <c r="G213" s="6" t="s">
        <v>25</v>
      </c>
      <c r="H213" s="6" t="s">
        <v>64</v>
      </c>
      <c r="I213" s="6" t="s">
        <v>65</v>
      </c>
      <c r="J213" s="62" t="s">
        <v>10</v>
      </c>
      <c r="K213" s="63"/>
    </row>
    <row r="214" spans="1:13" ht="90" customHeight="1" x14ac:dyDescent="0.3">
      <c r="A214" s="6" t="s">
        <v>107</v>
      </c>
      <c r="B214" s="27">
        <v>91467</v>
      </c>
      <c r="C214" s="84" t="str">
        <f>VLOOKUP(B214,S!$A:$D,2,FALSE)</f>
        <v>GUINDAUTO HIDRÁULICO, CAPACIDADE MÁXIMA DE CARGA 6200 KG, MOMENTO MÁXIMO DE CARGA 11,7 TM, ALCANCE MÁXIMO HORIZONTAL 9,70 M, INCLUSIVE CAMINHÃO TOCO PBT 16.000 KG, POTÊNCIA DE 189 CV - MATERIAIS NA OPERAÇÃO. AF_08/2015</v>
      </c>
      <c r="D214" s="84"/>
      <c r="E214" s="84"/>
      <c r="F214" s="85"/>
      <c r="G214" s="6" t="str">
        <f>VLOOKUP(B214,S!$A:$D,3,FALSE)</f>
        <v>H</v>
      </c>
      <c r="H214" s="20"/>
      <c r="I214" s="20">
        <f>J216</f>
        <v>108.09</v>
      </c>
      <c r="J214" s="70"/>
      <c r="K214" s="71"/>
      <c r="L214" s="20">
        <f>VLOOKUP(B214,S!$A:$D,4,FALSE)</f>
        <v>108.09</v>
      </c>
      <c r="M214" s="6" t="str">
        <f>IF(ROUND((L214-I214),2)=0,"OK, confere com a tabela.",IF(ROUND((L214-I214),2)&lt;0,"ACIMA ("&amp;TEXT(ROUND(I214*100/L214,4),"0,0000")&amp;" %) da tabela.","ABAIXO ("&amp;TEXT(ROUND(I214*100/L214,4),"0,0000")&amp;" %) da tabela."))</f>
        <v>OK, confere com a tabela.</v>
      </c>
    </row>
    <row r="215" spans="1:13" ht="15" customHeight="1" x14ac:dyDescent="0.3">
      <c r="A215" s="17" t="s">
        <v>70</v>
      </c>
      <c r="B215" s="19">
        <v>4221</v>
      </c>
      <c r="C215" s="64" t="str">
        <f>VLOOKUP(B215,IF(A215="COMPOSICAO",S!$A:$D,I!$A:$D),2,FALSE)</f>
        <v>OLEO DIESEL COMBUSTIVEL COMUM</v>
      </c>
      <c r="D215" s="64"/>
      <c r="E215" s="64"/>
      <c r="F215" s="64"/>
      <c r="G215" s="17" t="str">
        <f>VLOOKUP(B215,IF(A215="COMPOSICAO",S!$A:$D,I!$A:$D),3,FALSE)</f>
        <v>L</v>
      </c>
      <c r="H215" s="18">
        <v>26.43</v>
      </c>
      <c r="I215" s="18">
        <f>IF(A215="COMPOSICAO",VLOOKUP("TOTAL - "&amp;B215,COMPOSICAO_AUX_4!$A:$J,10,FALSE),VLOOKUP(B215,I!$A:$D,4,FALSE))</f>
        <v>4.09</v>
      </c>
      <c r="J215" s="67">
        <f>TRUNC(H215*I215,2)</f>
        <v>108.09</v>
      </c>
      <c r="K215" s="68"/>
    </row>
    <row r="216" spans="1:13" ht="15" customHeight="1" x14ac:dyDescent="0.3">
      <c r="A216" s="22" t="s">
        <v>148</v>
      </c>
      <c r="B216" s="23"/>
      <c r="C216" s="23"/>
      <c r="D216" s="23"/>
      <c r="E216" s="23"/>
      <c r="F216" s="23"/>
      <c r="G216" s="24"/>
      <c r="H216" s="25"/>
      <c r="I216" s="26"/>
      <c r="J216" s="67">
        <f>SUM(J214:K215)</f>
        <v>108.09</v>
      </c>
      <c r="K216" s="68"/>
    </row>
    <row r="217" spans="1:13" ht="15" customHeight="1" x14ac:dyDescent="0.3">
      <c r="A217" s="3"/>
      <c r="B217" s="3"/>
      <c r="C217" s="3"/>
      <c r="D217" s="3"/>
      <c r="E217" s="3"/>
      <c r="F217" s="3"/>
      <c r="G217" s="3"/>
      <c r="H217" s="3"/>
      <c r="I217" s="3"/>
      <c r="J217" s="3"/>
      <c r="K217" s="3"/>
    </row>
    <row r="218" spans="1:13" ht="15" customHeight="1" x14ac:dyDescent="0.3">
      <c r="A218" s="10" t="s">
        <v>63</v>
      </c>
      <c r="B218" s="10" t="s">
        <v>24</v>
      </c>
      <c r="C218" s="75" t="s">
        <v>8</v>
      </c>
      <c r="D218" s="76"/>
      <c r="E218" s="76"/>
      <c r="F218" s="76"/>
      <c r="G218" s="6" t="s">
        <v>25</v>
      </c>
      <c r="H218" s="6" t="s">
        <v>64</v>
      </c>
      <c r="I218" s="6" t="s">
        <v>65</v>
      </c>
      <c r="J218" s="62" t="s">
        <v>10</v>
      </c>
      <c r="K218" s="63"/>
    </row>
    <row r="219" spans="1:13" ht="30" customHeight="1" x14ac:dyDescent="0.3">
      <c r="A219" s="6" t="s">
        <v>87</v>
      </c>
      <c r="B219" s="27">
        <v>95316</v>
      </c>
      <c r="C219" s="84" t="str">
        <f>VLOOKUP(B219,S!$A:$D,2,FALSE)</f>
        <v>CURSO DE CAPACITAÇÃO PARA AUXILIAR DE ELETRICISTA (ENCARGOS COMPLEMENTARES) - HORISTA</v>
      </c>
      <c r="D219" s="84"/>
      <c r="E219" s="84"/>
      <c r="F219" s="85"/>
      <c r="G219" s="6" t="str">
        <f>VLOOKUP(B219,S!$A:$D,3,FALSE)</f>
        <v>H</v>
      </c>
      <c r="H219" s="20"/>
      <c r="I219" s="20">
        <f>J221</f>
        <v>0.27</v>
      </c>
      <c r="J219" s="70"/>
      <c r="K219" s="71"/>
      <c r="L219" s="20">
        <f>VLOOKUP(B219,S!$A:$D,4,FALSE)</f>
        <v>0.27</v>
      </c>
      <c r="M219" s="6" t="str">
        <f>IF(ROUND((L219-I219),2)=0,"OK, confere com a tabela.",IF(ROUND((L219-I219),2)&lt;0,"ACIMA ("&amp;TEXT(ROUND(I219*100/L219,4),"0,0000")&amp;" %) da tabela.","ABAIXO ("&amp;TEXT(ROUND(I219*100/L219,4),"0,0000")&amp;" %) da tabela."))</f>
        <v>OK, confere com a tabela.</v>
      </c>
    </row>
    <row r="220" spans="1:13" ht="15" customHeight="1" x14ac:dyDescent="0.3">
      <c r="A220" s="17" t="s">
        <v>70</v>
      </c>
      <c r="B220" s="19">
        <v>247</v>
      </c>
      <c r="C220" s="64" t="str">
        <f>VLOOKUP(B220,IF(A220="COMPOSICAO",S!$A:$D,I!$A:$D),2,FALSE)</f>
        <v>AJUDANTE DE ELETRICISTA</v>
      </c>
      <c r="D220" s="64"/>
      <c r="E220" s="64"/>
      <c r="F220" s="64"/>
      <c r="G220" s="17" t="str">
        <f>VLOOKUP(B220,IF(A220="COMPOSICAO",S!$A:$D,I!$A:$D),3,FALSE)</f>
        <v>H</v>
      </c>
      <c r="H220" s="29">
        <v>2.6599999999999999E-2</v>
      </c>
      <c r="I220" s="18">
        <f>IF(A220="COMPOSICAO",VLOOKUP("TOTAL - "&amp;B220,COMPOSICAO_AUX_4!$A:$J,10,FALSE),VLOOKUP(B220,I!$A:$D,4,FALSE))</f>
        <v>10.5</v>
      </c>
      <c r="J220" s="67">
        <f>TRUNC(H220*I220,2)</f>
        <v>0.27</v>
      </c>
      <c r="K220" s="68"/>
    </row>
    <row r="221" spans="1:13" ht="15" customHeight="1" x14ac:dyDescent="0.3">
      <c r="A221" s="22" t="s">
        <v>101</v>
      </c>
      <c r="B221" s="23"/>
      <c r="C221" s="23"/>
      <c r="D221" s="23"/>
      <c r="E221" s="23"/>
      <c r="F221" s="23"/>
      <c r="G221" s="24"/>
      <c r="H221" s="25"/>
      <c r="I221" s="26"/>
      <c r="J221" s="67">
        <f>SUM(J219:K220)</f>
        <v>0.27</v>
      </c>
      <c r="K221" s="68"/>
    </row>
    <row r="222" spans="1:13" ht="15" customHeight="1" x14ac:dyDescent="0.3">
      <c r="A222" s="3"/>
      <c r="B222" s="3"/>
      <c r="C222" s="3"/>
      <c r="D222" s="3"/>
      <c r="E222" s="3"/>
      <c r="F222" s="3"/>
      <c r="G222" s="3"/>
      <c r="H222" s="3"/>
      <c r="I222" s="3"/>
      <c r="J222" s="3"/>
      <c r="K222" s="3"/>
    </row>
    <row r="223" spans="1:13" ht="15" customHeight="1" x14ac:dyDescent="0.3">
      <c r="A223" s="10" t="s">
        <v>63</v>
      </c>
      <c r="B223" s="10" t="s">
        <v>24</v>
      </c>
      <c r="C223" s="75" t="s">
        <v>8</v>
      </c>
      <c r="D223" s="76"/>
      <c r="E223" s="76"/>
      <c r="F223" s="76"/>
      <c r="G223" s="6" t="s">
        <v>25</v>
      </c>
      <c r="H223" s="6" t="s">
        <v>64</v>
      </c>
      <c r="I223" s="6" t="s">
        <v>65</v>
      </c>
      <c r="J223" s="62" t="s">
        <v>10</v>
      </c>
      <c r="K223" s="63"/>
    </row>
    <row r="224" spans="1:13" ht="30" customHeight="1" x14ac:dyDescent="0.3">
      <c r="A224" s="6" t="s">
        <v>87</v>
      </c>
      <c r="B224" s="27">
        <v>95332</v>
      </c>
      <c r="C224" s="84" t="str">
        <f>VLOOKUP(B224,S!$A:$D,2,FALSE)</f>
        <v>CURSO DE CAPACITAÇÃO PARA ELETRICISTA (ENCARGOS COMPLEMENTARES) - HORISTA</v>
      </c>
      <c r="D224" s="84"/>
      <c r="E224" s="84"/>
      <c r="F224" s="85"/>
      <c r="G224" s="6" t="str">
        <f>VLOOKUP(B224,S!$A:$D,3,FALSE)</f>
        <v>H</v>
      </c>
      <c r="H224" s="20"/>
      <c r="I224" s="20">
        <f>J226</f>
        <v>0.39</v>
      </c>
      <c r="J224" s="70"/>
      <c r="K224" s="71"/>
      <c r="L224" s="20">
        <f>VLOOKUP(B224,S!$A:$D,4,FALSE)</f>
        <v>0.39</v>
      </c>
      <c r="M224" s="6" t="str">
        <f>IF(ROUND((L224-I224),2)=0,"OK, confere com a tabela.",IF(ROUND((L224-I224),2)&lt;0,"ACIMA ("&amp;TEXT(ROUND(I224*100/L224,4),"0,0000")&amp;" %) da tabela.","ABAIXO ("&amp;TEXT(ROUND(I224*100/L224,4),"0,0000")&amp;" %) da tabela."))</f>
        <v>OK, confere com a tabela.</v>
      </c>
    </row>
    <row r="225" spans="1:11" ht="15" customHeight="1" x14ac:dyDescent="0.3">
      <c r="A225" s="17" t="s">
        <v>70</v>
      </c>
      <c r="B225" s="19">
        <v>2436</v>
      </c>
      <c r="C225" s="64" t="str">
        <f>VLOOKUP(B225,IF(A225="COMPOSICAO",S!$A:$D,I!$A:$D),2,FALSE)</f>
        <v>ELETRICISTA</v>
      </c>
      <c r="D225" s="64"/>
      <c r="E225" s="64"/>
      <c r="F225" s="64"/>
      <c r="G225" s="17" t="str">
        <f>VLOOKUP(B225,IF(A225="COMPOSICAO",S!$A:$D,I!$A:$D),3,FALSE)</f>
        <v>H</v>
      </c>
      <c r="H225" s="29">
        <v>2.6599999999999999E-2</v>
      </c>
      <c r="I225" s="18">
        <f>IF(A225="COMPOSICAO",VLOOKUP("TOTAL - "&amp;B225,COMPOSICAO_AUX_4!$A:$J,10,FALSE),VLOOKUP(B225,I!$A:$D,4,FALSE))</f>
        <v>14.93</v>
      </c>
      <c r="J225" s="67">
        <f>TRUNC(H225*I225,2)</f>
        <v>0.39</v>
      </c>
      <c r="K225" s="68"/>
    </row>
    <row r="226" spans="1:11" ht="15" customHeight="1" x14ac:dyDescent="0.3">
      <c r="A226" s="22" t="s">
        <v>102</v>
      </c>
      <c r="B226" s="23"/>
      <c r="C226" s="23"/>
      <c r="D226" s="23"/>
      <c r="E226" s="23"/>
      <c r="F226" s="23"/>
      <c r="G226" s="24"/>
      <c r="H226" s="25"/>
      <c r="I226" s="26"/>
      <c r="J226" s="67">
        <f>SUM(J224:K225)</f>
        <v>0.39</v>
      </c>
      <c r="K226" s="68"/>
    </row>
    <row r="227" spans="1:11" ht="15" customHeight="1" x14ac:dyDescent="0.3">
      <c r="A227" s="3"/>
      <c r="B227" s="3"/>
      <c r="C227" s="3"/>
      <c r="D227" s="3"/>
      <c r="E227" s="3"/>
      <c r="F227" s="3"/>
      <c r="G227" s="3"/>
      <c r="H227" s="3"/>
      <c r="I227" s="3"/>
      <c r="J227" s="3"/>
      <c r="K227" s="3"/>
    </row>
  </sheetData>
  <sheetProtection formatCells="0" formatColumns="0" formatRows="0" insertColumns="0" insertRows="0" insertHyperlinks="0" deleteColumns="0" deleteRows="0" sort="0" autoFilter="0" pivotTables="0"/>
  <mergeCells count="345">
    <mergeCell ref="C8:F8"/>
    <mergeCell ref="J8:K8"/>
    <mergeCell ref="J9:K9"/>
    <mergeCell ref="C11:F11"/>
    <mergeCell ref="J11:K11"/>
    <mergeCell ref="C12:F12"/>
    <mergeCell ref="J12:K12"/>
    <mergeCell ref="A1:K1"/>
    <mergeCell ref="A2:K2"/>
    <mergeCell ref="A3:K3"/>
    <mergeCell ref="C6:F6"/>
    <mergeCell ref="J6:K6"/>
    <mergeCell ref="C7:F7"/>
    <mergeCell ref="J7:K7"/>
    <mergeCell ref="C18:F18"/>
    <mergeCell ref="J18:K18"/>
    <mergeCell ref="J19:K19"/>
    <mergeCell ref="C21:F21"/>
    <mergeCell ref="J21:K21"/>
    <mergeCell ref="C22:F22"/>
    <mergeCell ref="J22:K22"/>
    <mergeCell ref="C13:F13"/>
    <mergeCell ref="J13:K13"/>
    <mergeCell ref="J14:K14"/>
    <mergeCell ref="C16:F16"/>
    <mergeCell ref="J16:K16"/>
    <mergeCell ref="C17:F17"/>
    <mergeCell ref="J17:K17"/>
    <mergeCell ref="C28:F28"/>
    <mergeCell ref="J28:K28"/>
    <mergeCell ref="J29:K29"/>
    <mergeCell ref="C31:F31"/>
    <mergeCell ref="J31:K31"/>
    <mergeCell ref="C32:F32"/>
    <mergeCell ref="J32:K32"/>
    <mergeCell ref="C23:F23"/>
    <mergeCell ref="J23:K23"/>
    <mergeCell ref="J24:K24"/>
    <mergeCell ref="C26:F26"/>
    <mergeCell ref="J26:K26"/>
    <mergeCell ref="C27:F27"/>
    <mergeCell ref="J27:K27"/>
    <mergeCell ref="C38:F38"/>
    <mergeCell ref="J38:K38"/>
    <mergeCell ref="J39:K39"/>
    <mergeCell ref="C41:F41"/>
    <mergeCell ref="J41:K41"/>
    <mergeCell ref="C42:F42"/>
    <mergeCell ref="J42:K42"/>
    <mergeCell ref="C33:F33"/>
    <mergeCell ref="J33:K33"/>
    <mergeCell ref="J34:K34"/>
    <mergeCell ref="C36:F36"/>
    <mergeCell ref="J36:K36"/>
    <mergeCell ref="C37:F37"/>
    <mergeCell ref="J37:K37"/>
    <mergeCell ref="C48:F48"/>
    <mergeCell ref="J48:K48"/>
    <mergeCell ref="C49:F49"/>
    <mergeCell ref="J49:K49"/>
    <mergeCell ref="C50:F50"/>
    <mergeCell ref="J50:K50"/>
    <mergeCell ref="C43:F43"/>
    <mergeCell ref="J43:K43"/>
    <mergeCell ref="J44:K44"/>
    <mergeCell ref="C46:F46"/>
    <mergeCell ref="J46:K46"/>
    <mergeCell ref="C47:F47"/>
    <mergeCell ref="J47:K47"/>
    <mergeCell ref="C54:F54"/>
    <mergeCell ref="J54:K54"/>
    <mergeCell ref="C55:F55"/>
    <mergeCell ref="J55:K55"/>
    <mergeCell ref="J56:K56"/>
    <mergeCell ref="C58:F58"/>
    <mergeCell ref="J58:K58"/>
    <mergeCell ref="C51:F51"/>
    <mergeCell ref="J51:K51"/>
    <mergeCell ref="C52:F52"/>
    <mergeCell ref="J52:K52"/>
    <mergeCell ref="C53:F53"/>
    <mergeCell ref="J53:K53"/>
    <mergeCell ref="C64:F64"/>
    <mergeCell ref="J64:K64"/>
    <mergeCell ref="C65:F65"/>
    <mergeCell ref="J65:K65"/>
    <mergeCell ref="J66:K66"/>
    <mergeCell ref="C68:F68"/>
    <mergeCell ref="J68:K68"/>
    <mergeCell ref="C59:F59"/>
    <mergeCell ref="J59:K59"/>
    <mergeCell ref="C60:F60"/>
    <mergeCell ref="J60:K60"/>
    <mergeCell ref="J61:K61"/>
    <mergeCell ref="C63:F63"/>
    <mergeCell ref="J63:K63"/>
    <mergeCell ref="C74:F74"/>
    <mergeCell ref="J74:K74"/>
    <mergeCell ref="C75:F75"/>
    <mergeCell ref="J75:K75"/>
    <mergeCell ref="J76:K76"/>
    <mergeCell ref="C78:F78"/>
    <mergeCell ref="J78:K78"/>
    <mergeCell ref="C69:F69"/>
    <mergeCell ref="J69:K69"/>
    <mergeCell ref="C70:F70"/>
    <mergeCell ref="J70:K70"/>
    <mergeCell ref="J71:K71"/>
    <mergeCell ref="C73:F73"/>
    <mergeCell ref="J73:K73"/>
    <mergeCell ref="C82:F82"/>
    <mergeCell ref="J82:K82"/>
    <mergeCell ref="C83:F83"/>
    <mergeCell ref="J83:K83"/>
    <mergeCell ref="C84:F84"/>
    <mergeCell ref="J84:K84"/>
    <mergeCell ref="C79:F79"/>
    <mergeCell ref="J79:K79"/>
    <mergeCell ref="C80:F80"/>
    <mergeCell ref="J80:K80"/>
    <mergeCell ref="C81:F81"/>
    <mergeCell ref="J81:K81"/>
    <mergeCell ref="J88:K88"/>
    <mergeCell ref="C90:F90"/>
    <mergeCell ref="J90:K90"/>
    <mergeCell ref="C91:F91"/>
    <mergeCell ref="J91:K91"/>
    <mergeCell ref="C92:F92"/>
    <mergeCell ref="J92:K92"/>
    <mergeCell ref="C85:F85"/>
    <mergeCell ref="J85:K85"/>
    <mergeCell ref="C86:F86"/>
    <mergeCell ref="J86:K86"/>
    <mergeCell ref="C87:F87"/>
    <mergeCell ref="J87:K87"/>
    <mergeCell ref="C96:F96"/>
    <mergeCell ref="J96:K96"/>
    <mergeCell ref="C97:F97"/>
    <mergeCell ref="J97:K97"/>
    <mergeCell ref="C98:F98"/>
    <mergeCell ref="J98:K98"/>
    <mergeCell ref="C93:F93"/>
    <mergeCell ref="J93:K93"/>
    <mergeCell ref="C94:F94"/>
    <mergeCell ref="J94:K94"/>
    <mergeCell ref="C95:F95"/>
    <mergeCell ref="J95:K95"/>
    <mergeCell ref="C104:F104"/>
    <mergeCell ref="J104:K104"/>
    <mergeCell ref="C105:F105"/>
    <mergeCell ref="J105:K105"/>
    <mergeCell ref="C106:F106"/>
    <mergeCell ref="J106:K106"/>
    <mergeCell ref="C99:F99"/>
    <mergeCell ref="J99:K99"/>
    <mergeCell ref="J100:K100"/>
    <mergeCell ref="C102:F102"/>
    <mergeCell ref="J102:K102"/>
    <mergeCell ref="C103:F103"/>
    <mergeCell ref="J103:K103"/>
    <mergeCell ref="C112:F112"/>
    <mergeCell ref="J112:K112"/>
    <mergeCell ref="C113:F113"/>
    <mergeCell ref="J113:K113"/>
    <mergeCell ref="C114:F114"/>
    <mergeCell ref="J114:K114"/>
    <mergeCell ref="J107:K107"/>
    <mergeCell ref="C109:F109"/>
    <mergeCell ref="J109:K109"/>
    <mergeCell ref="C110:F110"/>
    <mergeCell ref="J110:K110"/>
    <mergeCell ref="C111:F111"/>
    <mergeCell ref="J111:K111"/>
    <mergeCell ref="C118:F118"/>
    <mergeCell ref="J118:K118"/>
    <mergeCell ref="J119:K119"/>
    <mergeCell ref="C121:F121"/>
    <mergeCell ref="J121:K121"/>
    <mergeCell ref="C122:F122"/>
    <mergeCell ref="J122:K122"/>
    <mergeCell ref="C115:F115"/>
    <mergeCell ref="J115:K115"/>
    <mergeCell ref="C116:F116"/>
    <mergeCell ref="J116:K116"/>
    <mergeCell ref="C117:F117"/>
    <mergeCell ref="J117:K117"/>
    <mergeCell ref="C126:F126"/>
    <mergeCell ref="J126:K126"/>
    <mergeCell ref="C127:F127"/>
    <mergeCell ref="J127:K127"/>
    <mergeCell ref="C128:F128"/>
    <mergeCell ref="J128:K128"/>
    <mergeCell ref="C123:F123"/>
    <mergeCell ref="J123:K123"/>
    <mergeCell ref="C124:F124"/>
    <mergeCell ref="J124:K124"/>
    <mergeCell ref="C125:F125"/>
    <mergeCell ref="J125:K125"/>
    <mergeCell ref="C134:F134"/>
    <mergeCell ref="J134:K134"/>
    <mergeCell ref="C135:F135"/>
    <mergeCell ref="J135:K135"/>
    <mergeCell ref="C136:F136"/>
    <mergeCell ref="J136:K136"/>
    <mergeCell ref="C129:F129"/>
    <mergeCell ref="J129:K129"/>
    <mergeCell ref="C130:F130"/>
    <mergeCell ref="J130:K130"/>
    <mergeCell ref="J131:K131"/>
    <mergeCell ref="C133:F133"/>
    <mergeCell ref="J133:K133"/>
    <mergeCell ref="C142:F142"/>
    <mergeCell ref="J142:K142"/>
    <mergeCell ref="C143:F143"/>
    <mergeCell ref="J143:K143"/>
    <mergeCell ref="C144:F144"/>
    <mergeCell ref="J144:K144"/>
    <mergeCell ref="C137:F137"/>
    <mergeCell ref="J137:K137"/>
    <mergeCell ref="C138:F138"/>
    <mergeCell ref="J138:K138"/>
    <mergeCell ref="J139:K139"/>
    <mergeCell ref="C141:F141"/>
    <mergeCell ref="J141:K141"/>
    <mergeCell ref="J150:K150"/>
    <mergeCell ref="C152:F152"/>
    <mergeCell ref="J152:K152"/>
    <mergeCell ref="C153:F153"/>
    <mergeCell ref="J153:K153"/>
    <mergeCell ref="C154:F154"/>
    <mergeCell ref="J154:K154"/>
    <mergeCell ref="J145:K145"/>
    <mergeCell ref="C147:F147"/>
    <mergeCell ref="J147:K147"/>
    <mergeCell ref="C148:F148"/>
    <mergeCell ref="J148:K148"/>
    <mergeCell ref="C149:F149"/>
    <mergeCell ref="J149:K149"/>
    <mergeCell ref="J160:K160"/>
    <mergeCell ref="C162:F162"/>
    <mergeCell ref="J162:K162"/>
    <mergeCell ref="C163:F163"/>
    <mergeCell ref="J163:K163"/>
    <mergeCell ref="C164:F164"/>
    <mergeCell ref="J164:K164"/>
    <mergeCell ref="J155:K155"/>
    <mergeCell ref="C157:F157"/>
    <mergeCell ref="J157:K157"/>
    <mergeCell ref="C158:F158"/>
    <mergeCell ref="J158:K158"/>
    <mergeCell ref="C159:F159"/>
    <mergeCell ref="J159:K159"/>
    <mergeCell ref="J170:K170"/>
    <mergeCell ref="C172:F172"/>
    <mergeCell ref="J172:K172"/>
    <mergeCell ref="C173:F173"/>
    <mergeCell ref="J173:K173"/>
    <mergeCell ref="C174:F174"/>
    <mergeCell ref="J174:K174"/>
    <mergeCell ref="J165:K165"/>
    <mergeCell ref="C167:F167"/>
    <mergeCell ref="J167:K167"/>
    <mergeCell ref="C168:F168"/>
    <mergeCell ref="J168:K168"/>
    <mergeCell ref="C169:F169"/>
    <mergeCell ref="J169:K169"/>
    <mergeCell ref="C180:F180"/>
    <mergeCell ref="J180:K180"/>
    <mergeCell ref="C181:F181"/>
    <mergeCell ref="J181:K181"/>
    <mergeCell ref="C182:F182"/>
    <mergeCell ref="J182:K182"/>
    <mergeCell ref="J175:K175"/>
    <mergeCell ref="C177:F177"/>
    <mergeCell ref="J177:K177"/>
    <mergeCell ref="C178:F178"/>
    <mergeCell ref="J178:K178"/>
    <mergeCell ref="C179:F179"/>
    <mergeCell ref="J179:K179"/>
    <mergeCell ref="C186:F186"/>
    <mergeCell ref="J186:K186"/>
    <mergeCell ref="J187:K187"/>
    <mergeCell ref="C189:F189"/>
    <mergeCell ref="J189:K189"/>
    <mergeCell ref="C190:F190"/>
    <mergeCell ref="J190:K190"/>
    <mergeCell ref="C183:F183"/>
    <mergeCell ref="J183:K183"/>
    <mergeCell ref="C184:F184"/>
    <mergeCell ref="J184:K184"/>
    <mergeCell ref="C185:F185"/>
    <mergeCell ref="J185:K185"/>
    <mergeCell ref="C196:F196"/>
    <mergeCell ref="J196:K196"/>
    <mergeCell ref="C197:F197"/>
    <mergeCell ref="J197:K197"/>
    <mergeCell ref="C198:F198"/>
    <mergeCell ref="J198:K198"/>
    <mergeCell ref="C191:F191"/>
    <mergeCell ref="J191:K191"/>
    <mergeCell ref="C192:F192"/>
    <mergeCell ref="J192:K192"/>
    <mergeCell ref="J193:K193"/>
    <mergeCell ref="C195:F195"/>
    <mergeCell ref="J195:K195"/>
    <mergeCell ref="C204:F204"/>
    <mergeCell ref="J204:K204"/>
    <mergeCell ref="J205:K205"/>
    <mergeCell ref="C207:F207"/>
    <mergeCell ref="J207:K207"/>
    <mergeCell ref="C208:F208"/>
    <mergeCell ref="J208:K208"/>
    <mergeCell ref="J199:K199"/>
    <mergeCell ref="C201:F201"/>
    <mergeCell ref="J201:K201"/>
    <mergeCell ref="C202:F202"/>
    <mergeCell ref="J202:K202"/>
    <mergeCell ref="C203:F203"/>
    <mergeCell ref="J203:K203"/>
    <mergeCell ref="C214:F214"/>
    <mergeCell ref="J214:K214"/>
    <mergeCell ref="C215:F215"/>
    <mergeCell ref="J215:K215"/>
    <mergeCell ref="J216:K216"/>
    <mergeCell ref="C218:F218"/>
    <mergeCell ref="J218:K218"/>
    <mergeCell ref="C209:F209"/>
    <mergeCell ref="J209:K209"/>
    <mergeCell ref="C210:F210"/>
    <mergeCell ref="J210:K210"/>
    <mergeCell ref="J211:K211"/>
    <mergeCell ref="C213:F213"/>
    <mergeCell ref="J213:K213"/>
    <mergeCell ref="C224:F224"/>
    <mergeCell ref="J224:K224"/>
    <mergeCell ref="C225:F225"/>
    <mergeCell ref="J225:K225"/>
    <mergeCell ref="J226:K226"/>
    <mergeCell ref="C219:F219"/>
    <mergeCell ref="J219:K219"/>
    <mergeCell ref="C220:F220"/>
    <mergeCell ref="J220:K220"/>
    <mergeCell ref="J221:K221"/>
    <mergeCell ref="C223:F223"/>
    <mergeCell ref="J223:K223"/>
  </mergeCells>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showGridLines="0" workbookViewId="0">
      <selection activeCell="I9" sqref="I9"/>
    </sheetView>
  </sheetViews>
  <sheetFormatPr defaultColWidth="9.109375" defaultRowHeight="15" customHeight="1" x14ac:dyDescent="0.3"/>
  <cols>
    <col min="1" max="1" width="14.6640625" style="1" customWidth="1"/>
    <col min="2" max="2" width="12.6640625" style="1" customWidth="1"/>
    <col min="3" max="3" width="4.6640625" style="1" customWidth="1"/>
    <col min="4" max="4" width="8.6640625" style="1" customWidth="1"/>
    <col min="5" max="5" width="25.6640625" style="1" customWidth="1"/>
    <col min="6" max="6" width="12.6640625" style="1" customWidth="1"/>
    <col min="7" max="7" width="8.6640625" style="1" customWidth="1"/>
    <col min="8" max="9" width="16.6640625" style="1" customWidth="1"/>
    <col min="10" max="11" width="8.6640625" style="1" customWidth="1"/>
    <col min="12" max="12" width="16.6640625" style="1" customWidth="1"/>
    <col min="13" max="13" width="27.5546875" style="1" customWidth="1"/>
    <col min="14" max="16384" width="9.109375" style="1"/>
  </cols>
  <sheetData>
    <row r="1" spans="1:13" ht="15" customHeight="1" x14ac:dyDescent="0.3">
      <c r="A1" s="54" t="str">
        <f>CIDADE</f>
        <v>MUNICÍPIO DE FLORESTA DO PIAUI - PI</v>
      </c>
      <c r="B1" s="54"/>
      <c r="C1" s="54"/>
      <c r="D1" s="54"/>
      <c r="E1" s="54"/>
      <c r="F1" s="54"/>
      <c r="G1" s="54"/>
      <c r="H1" s="54"/>
      <c r="I1" s="54"/>
      <c r="J1" s="54"/>
      <c r="K1" s="54"/>
    </row>
    <row r="2" spans="1:13" ht="15" customHeight="1" x14ac:dyDescent="0.3">
      <c r="A2" s="54" t="str">
        <f>OBRA</f>
        <v>INSTALAÇÕES ELÉTRICAS DE ILUMINAÇÃO DE PASSARELA DE  U E WILSON NUNES MARTINS FILHO</v>
      </c>
      <c r="B2" s="54"/>
      <c r="C2" s="54"/>
      <c r="D2" s="54"/>
      <c r="E2" s="54"/>
      <c r="F2" s="54"/>
      <c r="G2" s="54"/>
      <c r="H2" s="54"/>
      <c r="I2" s="54"/>
      <c r="J2" s="54"/>
      <c r="K2" s="54"/>
    </row>
    <row r="3" spans="1:13" ht="15" customHeight="1" x14ac:dyDescent="0.3">
      <c r="A3" s="54" t="s">
        <v>149</v>
      </c>
      <c r="B3" s="54"/>
      <c r="C3" s="54"/>
      <c r="D3" s="54"/>
      <c r="E3" s="54"/>
      <c r="F3" s="54"/>
      <c r="G3" s="54"/>
      <c r="H3" s="54"/>
      <c r="I3" s="54"/>
      <c r="J3" s="54"/>
      <c r="K3" s="54"/>
    </row>
    <row r="4" spans="1:13" ht="15" customHeight="1" x14ac:dyDescent="0.3">
      <c r="A4" s="3"/>
      <c r="B4" s="3"/>
      <c r="C4" s="3"/>
      <c r="D4" s="3"/>
      <c r="E4" s="3"/>
      <c r="F4" s="3"/>
      <c r="G4" s="3"/>
      <c r="H4" s="3"/>
      <c r="I4" s="3"/>
      <c r="J4" s="3"/>
      <c r="K4" s="3"/>
    </row>
    <row r="5" spans="1:13" ht="15" customHeight="1" x14ac:dyDescent="0.3">
      <c r="A5" s="2" t="s">
        <v>3</v>
      </c>
      <c r="B5" s="4" t="str">
        <f>FONTE&amp;ONERA</f>
        <v>SINAPI PI-02/2021, SEINFRA 27, ORSE-01/2021, SEM DESONERAÇÃO</v>
      </c>
      <c r="C5" s="2"/>
      <c r="D5" s="2"/>
      <c r="E5" s="2"/>
      <c r="G5" s="3"/>
      <c r="H5" s="2" t="s">
        <v>6</v>
      </c>
      <c r="I5" s="5">
        <f>LEI</f>
        <v>112.14999999999999</v>
      </c>
      <c r="J5" s="2" t="s">
        <v>7</v>
      </c>
      <c r="K5" s="5">
        <f>BDI</f>
        <v>21.25</v>
      </c>
    </row>
    <row r="6" spans="1:13" ht="15" customHeight="1" x14ac:dyDescent="0.3">
      <c r="A6" s="10" t="s">
        <v>63</v>
      </c>
      <c r="B6" s="10" t="s">
        <v>24</v>
      </c>
      <c r="C6" s="75" t="s">
        <v>8</v>
      </c>
      <c r="D6" s="76"/>
      <c r="E6" s="76"/>
      <c r="F6" s="76"/>
      <c r="G6" s="6" t="s">
        <v>25</v>
      </c>
      <c r="H6" s="6" t="s">
        <v>64</v>
      </c>
      <c r="I6" s="6" t="s">
        <v>65</v>
      </c>
      <c r="J6" s="62" t="s">
        <v>10</v>
      </c>
      <c r="K6" s="63"/>
    </row>
    <row r="7" spans="1:13" ht="45" customHeight="1" x14ac:dyDescent="0.3">
      <c r="A7" s="6" t="s">
        <v>87</v>
      </c>
      <c r="B7" s="27">
        <v>95360</v>
      </c>
      <c r="C7" s="84" t="str">
        <f>VLOOKUP(B7,S!$A:$D,2,FALSE)</f>
        <v>CURSO DE CAPACITAÇÃO PARA OPERADOR DE MÁQUINAS E EQUIPAMENTOS (ENCARGOS COMPLEMENTARES) - HORISTA</v>
      </c>
      <c r="D7" s="84"/>
      <c r="E7" s="84"/>
      <c r="F7" s="85"/>
      <c r="G7" s="6" t="str">
        <f>VLOOKUP(B7,S!$A:$D,3,FALSE)</f>
        <v>H</v>
      </c>
      <c r="H7" s="20"/>
      <c r="I7" s="20">
        <f>J9</f>
        <v>0.16</v>
      </c>
      <c r="J7" s="70"/>
      <c r="K7" s="71"/>
      <c r="L7" s="20">
        <f>VLOOKUP(B7,S!$A:$D,4,FALSE)</f>
        <v>0.16</v>
      </c>
      <c r="M7" s="6" t="str">
        <f>IF(ROUND((L7-I7),2)=0,"OK, confere com a tabela.",IF(ROUND((L7-I7),2)&lt;0,"ACIMA ("&amp;TEXT(ROUND(I7*100/L7,4),"0,0000")&amp;" %) da tabela.","ABAIXO ("&amp;TEXT(ROUND(I7*100/L7,4),"0,0000")&amp;" %) da tabela."))</f>
        <v>OK, confere com a tabela.</v>
      </c>
    </row>
    <row r="8" spans="1:13" ht="30" customHeight="1" x14ac:dyDescent="0.3">
      <c r="A8" s="17" t="s">
        <v>70</v>
      </c>
      <c r="B8" s="19">
        <v>4230</v>
      </c>
      <c r="C8" s="64" t="str">
        <f>VLOOKUP(B8,IF(A8="COMPOSICAO",S!$A:$D,I!$A:$D),2,FALSE)</f>
        <v>OPERADOR DE MAQUINAS E TRATORES DIVERSOS (TERRAPLANAGEM)</v>
      </c>
      <c r="D8" s="64"/>
      <c r="E8" s="64"/>
      <c r="F8" s="64"/>
      <c r="G8" s="17" t="str">
        <f>VLOOKUP(B8,IF(A8="COMPOSICAO",S!$A:$D,I!$A:$D),3,FALSE)</f>
        <v>H</v>
      </c>
      <c r="H8" s="29">
        <v>8.2000000000000007E-3</v>
      </c>
      <c r="I8" s="18">
        <f>IF(A8="COMPOSICAO",VLOOKUP("TOTAL - "&amp;B8,COMPOSICAO_AUX_5!$A:$J,10,FALSE),VLOOKUP(B8,I!$A:$D,4,FALSE))</f>
        <v>20.43</v>
      </c>
      <c r="J8" s="67">
        <f>TRUNC(H8*I8,2)</f>
        <v>0.16</v>
      </c>
      <c r="K8" s="68"/>
    </row>
    <row r="9" spans="1:13" ht="15" customHeight="1" x14ac:dyDescent="0.3">
      <c r="A9" s="22" t="s">
        <v>150</v>
      </c>
      <c r="B9" s="23"/>
      <c r="C9" s="23"/>
      <c r="D9" s="23"/>
      <c r="E9" s="23"/>
      <c r="F9" s="23"/>
      <c r="G9" s="24"/>
      <c r="H9" s="25"/>
      <c r="I9" s="26"/>
      <c r="J9" s="67">
        <f>SUM(J7:K8)</f>
        <v>0.16</v>
      </c>
      <c r="K9" s="68"/>
    </row>
    <row r="10" spans="1:13" ht="15" customHeight="1" x14ac:dyDescent="0.3">
      <c r="A10" s="3"/>
      <c r="B10" s="3"/>
      <c r="C10" s="3"/>
      <c r="D10" s="3"/>
      <c r="E10" s="3"/>
      <c r="F10" s="3"/>
      <c r="G10" s="3"/>
      <c r="H10" s="3"/>
      <c r="I10" s="3"/>
      <c r="J10" s="3"/>
      <c r="K10" s="3"/>
    </row>
    <row r="11" spans="1:13" ht="15" customHeight="1" x14ac:dyDescent="0.3">
      <c r="A11" s="10" t="s">
        <v>63</v>
      </c>
      <c r="B11" s="10" t="s">
        <v>24</v>
      </c>
      <c r="C11" s="75" t="s">
        <v>8</v>
      </c>
      <c r="D11" s="76"/>
      <c r="E11" s="76"/>
      <c r="F11" s="76"/>
      <c r="G11" s="6" t="s">
        <v>25</v>
      </c>
      <c r="H11" s="6" t="s">
        <v>64</v>
      </c>
      <c r="I11" s="6" t="s">
        <v>65</v>
      </c>
      <c r="J11" s="62" t="s">
        <v>10</v>
      </c>
      <c r="K11" s="63"/>
    </row>
    <row r="12" spans="1:13" ht="30" customHeight="1" x14ac:dyDescent="0.3">
      <c r="A12" s="6" t="s">
        <v>87</v>
      </c>
      <c r="B12" s="27">
        <v>95308</v>
      </c>
      <c r="C12" s="84" t="str">
        <f>VLOOKUP(B12,S!$A:$D,2,FALSE)</f>
        <v>CURSO DE CAPACITAÇÃO PARA AJUDANTE DE ARMADOR (ENCARGOS COMPLEMENTARES) - HORISTA</v>
      </c>
      <c r="D12" s="84"/>
      <c r="E12" s="84"/>
      <c r="F12" s="85"/>
      <c r="G12" s="6" t="str">
        <f>VLOOKUP(B12,S!$A:$D,3,FALSE)</f>
        <v>H</v>
      </c>
      <c r="H12" s="20"/>
      <c r="I12" s="20">
        <f>J14</f>
        <v>0.08</v>
      </c>
      <c r="J12" s="70"/>
      <c r="K12" s="71"/>
      <c r="L12" s="20">
        <f>VLOOKUP(B12,S!$A:$D,4,FALSE)</f>
        <v>0.08</v>
      </c>
      <c r="M12" s="6" t="str">
        <f>IF(ROUND((L12-I12),2)=0,"OK, confere com a tabela.",IF(ROUND((L12-I12),2)&lt;0,"ACIMA ("&amp;TEXT(ROUND(I12*100/L12,4),"0,0000")&amp;" %) da tabela.","ABAIXO ("&amp;TEXT(ROUND(I12*100/L12,4),"0,0000")&amp;" %) da tabela."))</f>
        <v>OK, confere com a tabela.</v>
      </c>
    </row>
    <row r="13" spans="1:13" ht="15" customHeight="1" x14ac:dyDescent="0.3">
      <c r="A13" s="17" t="s">
        <v>70</v>
      </c>
      <c r="B13" s="19">
        <v>6114</v>
      </c>
      <c r="C13" s="64" t="str">
        <f>VLOOKUP(B13,IF(A13="COMPOSICAO",S!$A:$D,I!$A:$D),2,FALSE)</f>
        <v>AJUDANTE DE ARMADOR</v>
      </c>
      <c r="D13" s="64"/>
      <c r="E13" s="64"/>
      <c r="F13" s="64"/>
      <c r="G13" s="17" t="str">
        <f>VLOOKUP(B13,IF(A13="COMPOSICAO",S!$A:$D,I!$A:$D),3,FALSE)</f>
        <v>H</v>
      </c>
      <c r="H13" s="29">
        <v>8.2000000000000007E-3</v>
      </c>
      <c r="I13" s="18">
        <f>IF(A13="COMPOSICAO",VLOOKUP("TOTAL - "&amp;B13,COMPOSICAO_AUX_5!$A:$J,10,FALSE),VLOOKUP(B13,I!$A:$D,4,FALSE))</f>
        <v>10.41</v>
      </c>
      <c r="J13" s="67">
        <f>TRUNC(H13*I13,2)</f>
        <v>0.08</v>
      </c>
      <c r="K13" s="68"/>
    </row>
    <row r="14" spans="1:13" ht="15" customHeight="1" x14ac:dyDescent="0.3">
      <c r="A14" s="22" t="s">
        <v>151</v>
      </c>
      <c r="B14" s="23"/>
      <c r="C14" s="23"/>
      <c r="D14" s="23"/>
      <c r="E14" s="23"/>
      <c r="F14" s="23"/>
      <c r="G14" s="24"/>
      <c r="H14" s="25"/>
      <c r="I14" s="26"/>
      <c r="J14" s="67">
        <f>SUM(J12:K13)</f>
        <v>0.08</v>
      </c>
      <c r="K14" s="68"/>
    </row>
    <row r="15" spans="1:13" ht="15" customHeight="1" x14ac:dyDescent="0.3">
      <c r="A15" s="3"/>
      <c r="B15" s="3"/>
      <c r="C15" s="3"/>
      <c r="D15" s="3"/>
      <c r="E15" s="3"/>
      <c r="F15" s="3"/>
      <c r="G15" s="3"/>
      <c r="H15" s="3"/>
      <c r="I15" s="3"/>
      <c r="J15" s="3"/>
      <c r="K15" s="3"/>
    </row>
    <row r="16" spans="1:13" ht="15" customHeight="1" x14ac:dyDescent="0.3">
      <c r="A16" s="10" t="s">
        <v>63</v>
      </c>
      <c r="B16" s="10" t="s">
        <v>24</v>
      </c>
      <c r="C16" s="75" t="s">
        <v>8</v>
      </c>
      <c r="D16" s="76"/>
      <c r="E16" s="76"/>
      <c r="F16" s="76"/>
      <c r="G16" s="6" t="s">
        <v>25</v>
      </c>
      <c r="H16" s="6" t="s">
        <v>64</v>
      </c>
      <c r="I16" s="6" t="s">
        <v>65</v>
      </c>
      <c r="J16" s="62" t="s">
        <v>10</v>
      </c>
      <c r="K16" s="63"/>
    </row>
    <row r="17" spans="1:13" ht="30" customHeight="1" x14ac:dyDescent="0.3">
      <c r="A17" s="6" t="s">
        <v>87</v>
      </c>
      <c r="B17" s="27">
        <v>95314</v>
      </c>
      <c r="C17" s="84" t="str">
        <f>VLOOKUP(B17,S!$A:$D,2,FALSE)</f>
        <v>CURSO DE CAPACITAÇÃO PARA ARMADOR (ENCARGOS COMPLEMENTARES) - HORISTA</v>
      </c>
      <c r="D17" s="84"/>
      <c r="E17" s="84"/>
      <c r="F17" s="85"/>
      <c r="G17" s="6" t="str">
        <f>VLOOKUP(B17,S!$A:$D,3,FALSE)</f>
        <v>H</v>
      </c>
      <c r="H17" s="20"/>
      <c r="I17" s="20">
        <f>J19</f>
        <v>0.12</v>
      </c>
      <c r="J17" s="70"/>
      <c r="K17" s="71"/>
      <c r="L17" s="20">
        <f>VLOOKUP(B17,S!$A:$D,4,FALSE)</f>
        <v>0.12</v>
      </c>
      <c r="M17" s="6" t="str">
        <f>IF(ROUND((L17-I17),2)=0,"OK, confere com a tabela.",IF(ROUND((L17-I17),2)&lt;0,"ACIMA ("&amp;TEXT(ROUND(I17*100/L17,4),"0,0000")&amp;" %) da tabela.","ABAIXO ("&amp;TEXT(ROUND(I17*100/L17,4),"0,0000")&amp;" %) da tabela."))</f>
        <v>OK, confere com a tabela.</v>
      </c>
    </row>
    <row r="18" spans="1:13" ht="15" customHeight="1" x14ac:dyDescent="0.3">
      <c r="A18" s="17" t="s">
        <v>70</v>
      </c>
      <c r="B18" s="19">
        <v>378</v>
      </c>
      <c r="C18" s="64" t="str">
        <f>VLOOKUP(B18,IF(A18="COMPOSICAO",S!$A:$D,I!$A:$D),2,FALSE)</f>
        <v>ARMADOR</v>
      </c>
      <c r="D18" s="64"/>
      <c r="E18" s="64"/>
      <c r="F18" s="64"/>
      <c r="G18" s="17" t="str">
        <f>VLOOKUP(B18,IF(A18="COMPOSICAO",S!$A:$D,I!$A:$D),3,FALSE)</f>
        <v>H</v>
      </c>
      <c r="H18" s="29">
        <v>8.2000000000000007E-3</v>
      </c>
      <c r="I18" s="18">
        <f>IF(A18="COMPOSICAO",VLOOKUP("TOTAL - "&amp;B18,COMPOSICAO_AUX_5!$A:$J,10,FALSE),VLOOKUP(B18,I!$A:$D,4,FALSE))</f>
        <v>14.93</v>
      </c>
      <c r="J18" s="67">
        <f>TRUNC(H18*I18,2)</f>
        <v>0.12</v>
      </c>
      <c r="K18" s="68"/>
    </row>
    <row r="19" spans="1:13" ht="15" customHeight="1" x14ac:dyDescent="0.3">
      <c r="A19" s="22" t="s">
        <v>152</v>
      </c>
      <c r="B19" s="23"/>
      <c r="C19" s="23"/>
      <c r="D19" s="23"/>
      <c r="E19" s="23"/>
      <c r="F19" s="23"/>
      <c r="G19" s="24"/>
      <c r="H19" s="25"/>
      <c r="I19" s="26"/>
      <c r="J19" s="67">
        <f>SUM(J17:K18)</f>
        <v>0.12</v>
      </c>
      <c r="K19" s="68"/>
    </row>
    <row r="20" spans="1:13" ht="15" customHeight="1" x14ac:dyDescent="0.3">
      <c r="A20" s="3"/>
      <c r="B20" s="3"/>
      <c r="C20" s="3"/>
      <c r="D20" s="3"/>
      <c r="E20" s="3"/>
      <c r="F20" s="3"/>
      <c r="G20" s="3"/>
      <c r="H20" s="3"/>
      <c r="I20" s="3"/>
      <c r="J20" s="3"/>
      <c r="K20" s="3"/>
    </row>
    <row r="21" spans="1:13" ht="15" customHeight="1" x14ac:dyDescent="0.3">
      <c r="A21" s="10" t="s">
        <v>63</v>
      </c>
      <c r="B21" s="10" t="s">
        <v>24</v>
      </c>
      <c r="C21" s="75" t="s">
        <v>8</v>
      </c>
      <c r="D21" s="76"/>
      <c r="E21" s="76"/>
      <c r="F21" s="76"/>
      <c r="G21" s="6" t="s">
        <v>25</v>
      </c>
      <c r="H21" s="6" t="s">
        <v>64</v>
      </c>
      <c r="I21" s="6" t="s">
        <v>65</v>
      </c>
      <c r="J21" s="62" t="s">
        <v>10</v>
      </c>
      <c r="K21" s="63"/>
    </row>
    <row r="22" spans="1:13" ht="30" customHeight="1" x14ac:dyDescent="0.3">
      <c r="A22" s="6" t="s">
        <v>87</v>
      </c>
      <c r="B22" s="27">
        <v>88238</v>
      </c>
      <c r="C22" s="84" t="str">
        <f>VLOOKUP(B22,S!$A:$D,2,FALSE)</f>
        <v>AJUDANTE DE ARMADOR COM ENCARGOS COMPLEMENTARES</v>
      </c>
      <c r="D22" s="84"/>
      <c r="E22" s="84"/>
      <c r="F22" s="85"/>
      <c r="G22" s="6" t="str">
        <f>VLOOKUP(B22,S!$A:$D,3,FALSE)</f>
        <v>H</v>
      </c>
      <c r="H22" s="20"/>
      <c r="I22" s="20">
        <f>J31</f>
        <v>15.19</v>
      </c>
      <c r="J22" s="70"/>
      <c r="K22" s="71"/>
      <c r="L22" s="20">
        <f>VLOOKUP(B22,S!$A:$D,4,FALSE)</f>
        <v>15.19</v>
      </c>
      <c r="M22" s="6" t="str">
        <f>IF(ROUND((L22-I22),2)=0,"OK, confere com a tabela.",IF(ROUND((L22-I22),2)&lt;0,"ACIMA ("&amp;TEXT(ROUND(I22*100/L22,4),"0,0000")&amp;" %) da tabela.","ABAIXO ("&amp;TEXT(ROUND(I22*100/L22,4),"0,0000")&amp;" %) da tabela."))</f>
        <v>OK, confere com a tabela.</v>
      </c>
    </row>
    <row r="23" spans="1:13" ht="15" customHeight="1" x14ac:dyDescent="0.3">
      <c r="A23" s="17" t="s">
        <v>70</v>
      </c>
      <c r="B23" s="19">
        <v>6114</v>
      </c>
      <c r="C23" s="64" t="str">
        <f>VLOOKUP(B23,IF(A23="COMPOSICAO",S!$A:$D,I!$A:$D),2,FALSE)</f>
        <v>AJUDANTE DE ARMADOR</v>
      </c>
      <c r="D23" s="64"/>
      <c r="E23" s="64"/>
      <c r="F23" s="64"/>
      <c r="G23" s="17" t="str">
        <f>VLOOKUP(B23,IF(A23="COMPOSICAO",S!$A:$D,I!$A:$D),3,FALSE)</f>
        <v>H</v>
      </c>
      <c r="H23" s="18">
        <v>1</v>
      </c>
      <c r="I23" s="18">
        <f>IF(A23="COMPOSICAO",VLOOKUP("TOTAL - "&amp;B23,COMPOSICAO_AUX_5!$A:$J,10,FALSE),VLOOKUP(B23,I!$A:$D,4,FALSE))</f>
        <v>10.41</v>
      </c>
      <c r="J23" s="67">
        <f t="shared" ref="J23:J30" si="0">TRUNC(H23*I23,2)</f>
        <v>10.41</v>
      </c>
      <c r="K23" s="68"/>
    </row>
    <row r="24" spans="1:13" ht="15" customHeight="1" x14ac:dyDescent="0.3">
      <c r="A24" s="17" t="s">
        <v>70</v>
      </c>
      <c r="B24" s="19">
        <v>37370</v>
      </c>
      <c r="C24" s="64" t="str">
        <f>VLOOKUP(B24,IF(A24="COMPOSICAO",S!$A:$D,I!$A:$D),2,FALSE)</f>
        <v>ALIMENTACAO - HORISTA (COLETADO CAIXA)</v>
      </c>
      <c r="D24" s="64"/>
      <c r="E24" s="64"/>
      <c r="F24" s="64"/>
      <c r="G24" s="17" t="str">
        <f>VLOOKUP(B24,IF(A24="COMPOSICAO",S!$A:$D,I!$A:$D),3,FALSE)</f>
        <v>H</v>
      </c>
      <c r="H24" s="18">
        <v>1</v>
      </c>
      <c r="I24" s="18">
        <f>IF(A24="COMPOSICAO",VLOOKUP("TOTAL - "&amp;B24,COMPOSICAO_AUX_5!$A:$J,10,FALSE),VLOOKUP(B24,I!$A:$D,4,FALSE))</f>
        <v>1.86</v>
      </c>
      <c r="J24" s="67">
        <f t="shared" si="0"/>
        <v>1.86</v>
      </c>
      <c r="K24" s="68"/>
    </row>
    <row r="25" spans="1:13" ht="15" customHeight="1" x14ac:dyDescent="0.3">
      <c r="A25" s="17" t="s">
        <v>70</v>
      </c>
      <c r="B25" s="19">
        <v>37371</v>
      </c>
      <c r="C25" s="64" t="str">
        <f>VLOOKUP(B25,IF(A25="COMPOSICAO",S!$A:$D,I!$A:$D),2,FALSE)</f>
        <v>TRANSPORTE - HORISTA (COLETADO CAIXA)</v>
      </c>
      <c r="D25" s="64"/>
      <c r="E25" s="64"/>
      <c r="F25" s="64"/>
      <c r="G25" s="17" t="str">
        <f>VLOOKUP(B25,IF(A25="COMPOSICAO",S!$A:$D,I!$A:$D),3,FALSE)</f>
        <v>H</v>
      </c>
      <c r="H25" s="18">
        <v>1</v>
      </c>
      <c r="I25" s="18">
        <f>IF(A25="COMPOSICAO",VLOOKUP("TOTAL - "&amp;B25,COMPOSICAO_AUX_5!$A:$J,10,FALSE),VLOOKUP(B25,I!$A:$D,4,FALSE))</f>
        <v>0.7</v>
      </c>
      <c r="J25" s="67">
        <f t="shared" si="0"/>
        <v>0.7</v>
      </c>
      <c r="K25" s="68"/>
    </row>
    <row r="26" spans="1:13" ht="15" customHeight="1" x14ac:dyDescent="0.3">
      <c r="A26" s="17" t="s">
        <v>70</v>
      </c>
      <c r="B26" s="19">
        <v>37372</v>
      </c>
      <c r="C26" s="64" t="str">
        <f>VLOOKUP(B26,IF(A26="COMPOSICAO",S!$A:$D,I!$A:$D),2,FALSE)</f>
        <v>EXAMES - HORISTA (COLETADO CAIXA)</v>
      </c>
      <c r="D26" s="64"/>
      <c r="E26" s="64"/>
      <c r="F26" s="64"/>
      <c r="G26" s="17" t="str">
        <f>VLOOKUP(B26,IF(A26="COMPOSICAO",S!$A:$D,I!$A:$D),3,FALSE)</f>
        <v>H</v>
      </c>
      <c r="H26" s="18">
        <v>1</v>
      </c>
      <c r="I26" s="18">
        <f>IF(A26="COMPOSICAO",VLOOKUP("TOTAL - "&amp;B26,COMPOSICAO_AUX_5!$A:$J,10,FALSE),VLOOKUP(B26,I!$A:$D,4,FALSE))</f>
        <v>0.55000000000000004</v>
      </c>
      <c r="J26" s="67">
        <f t="shared" si="0"/>
        <v>0.55000000000000004</v>
      </c>
      <c r="K26" s="68"/>
    </row>
    <row r="27" spans="1:13" ht="15" customHeight="1" x14ac:dyDescent="0.3">
      <c r="A27" s="17" t="s">
        <v>70</v>
      </c>
      <c r="B27" s="19">
        <v>37373</v>
      </c>
      <c r="C27" s="64" t="str">
        <f>VLOOKUP(B27,IF(A27="COMPOSICAO",S!$A:$D,I!$A:$D),2,FALSE)</f>
        <v>SEGURO - HORISTA (COLETADO CAIXA)</v>
      </c>
      <c r="D27" s="64"/>
      <c r="E27" s="64"/>
      <c r="F27" s="64"/>
      <c r="G27" s="17" t="str">
        <f>VLOOKUP(B27,IF(A27="COMPOSICAO",S!$A:$D,I!$A:$D),3,FALSE)</f>
        <v>H</v>
      </c>
      <c r="H27" s="18">
        <v>1</v>
      </c>
      <c r="I27" s="18">
        <f>IF(A27="COMPOSICAO",VLOOKUP("TOTAL - "&amp;B27,COMPOSICAO_AUX_5!$A:$J,10,FALSE),VLOOKUP(B27,I!$A:$D,4,FALSE))</f>
        <v>0.06</v>
      </c>
      <c r="J27" s="67">
        <f t="shared" si="0"/>
        <v>0.06</v>
      </c>
      <c r="K27" s="68"/>
    </row>
    <row r="28" spans="1:13" ht="30" customHeight="1" x14ac:dyDescent="0.3">
      <c r="A28" s="17" t="s">
        <v>70</v>
      </c>
      <c r="B28" s="19">
        <v>43465</v>
      </c>
      <c r="C28" s="64" t="str">
        <f>VLOOKUP(B28,IF(A28="COMPOSICAO",S!$A:$D,I!$A:$D),2,FALSE)</f>
        <v>FERRAMENTAS - FAMILIA PEDREIRO - HORISTA (ENCARGOS COMPLEMENTARES - COLETADO CAIXA)</v>
      </c>
      <c r="D28" s="64"/>
      <c r="E28" s="64"/>
      <c r="F28" s="64"/>
      <c r="G28" s="17" t="str">
        <f>VLOOKUP(B28,IF(A28="COMPOSICAO",S!$A:$D,I!$A:$D),3,FALSE)</f>
        <v>H</v>
      </c>
      <c r="H28" s="18">
        <v>1</v>
      </c>
      <c r="I28" s="18">
        <f>IF(A28="COMPOSICAO",VLOOKUP("TOTAL - "&amp;B28,COMPOSICAO_AUX_5!$A:$J,10,FALSE),VLOOKUP(B28,I!$A:$D,4,FALSE))</f>
        <v>0.57999999999999996</v>
      </c>
      <c r="J28" s="67">
        <f t="shared" si="0"/>
        <v>0.57999999999999996</v>
      </c>
      <c r="K28" s="68"/>
    </row>
    <row r="29" spans="1:13" ht="30" customHeight="1" x14ac:dyDescent="0.3">
      <c r="A29" s="17" t="s">
        <v>70</v>
      </c>
      <c r="B29" s="19">
        <v>43489</v>
      </c>
      <c r="C29" s="64" t="str">
        <f>VLOOKUP(B29,IF(A29="COMPOSICAO",S!$A:$D,I!$A:$D),2,FALSE)</f>
        <v>EPI - FAMILIA PEDREIRO - HORISTA (ENCARGOS COMPLEMENTARES - COLETADO CAIXA)</v>
      </c>
      <c r="D29" s="64"/>
      <c r="E29" s="64"/>
      <c r="F29" s="64"/>
      <c r="G29" s="17" t="str">
        <f>VLOOKUP(B29,IF(A29="COMPOSICAO",S!$A:$D,I!$A:$D),3,FALSE)</f>
        <v>H</v>
      </c>
      <c r="H29" s="18">
        <v>1</v>
      </c>
      <c r="I29" s="18">
        <f>IF(A29="COMPOSICAO",VLOOKUP("TOTAL - "&amp;B29,COMPOSICAO_AUX_5!$A:$J,10,FALSE),VLOOKUP(B29,I!$A:$D,4,FALSE))</f>
        <v>0.95</v>
      </c>
      <c r="J29" s="67">
        <f t="shared" si="0"/>
        <v>0.95</v>
      </c>
      <c r="K29" s="68"/>
    </row>
    <row r="30" spans="1:13" ht="30" customHeight="1" x14ac:dyDescent="0.3">
      <c r="A30" s="17" t="s">
        <v>71</v>
      </c>
      <c r="B30" s="19">
        <v>95308</v>
      </c>
      <c r="C30" s="64" t="str">
        <f>VLOOKUP(B30,IF(A30="COMPOSICAO",S!$A:$D,I!$A:$D),2,FALSE)</f>
        <v>CURSO DE CAPACITAÇÃO PARA AJUDANTE DE ARMADOR (ENCARGOS COMPLEMENTARES) - HORISTA</v>
      </c>
      <c r="D30" s="64"/>
      <c r="E30" s="64"/>
      <c r="F30" s="64"/>
      <c r="G30" s="17" t="str">
        <f>VLOOKUP(B30,IF(A30="COMPOSICAO",S!$A:$D,I!$A:$D),3,FALSE)</f>
        <v>H</v>
      </c>
      <c r="H30" s="18">
        <v>1</v>
      </c>
      <c r="I30" s="18">
        <f>IF(A30="COMPOSICAO",VLOOKUP("TOTAL - "&amp;B30,COMPOSICAO_AUX_5!$A:$J,10,FALSE),VLOOKUP(B30,I!$A:$D,4,FALSE))</f>
        <v>0.08</v>
      </c>
      <c r="J30" s="67">
        <f t="shared" si="0"/>
        <v>0.08</v>
      </c>
      <c r="K30" s="68"/>
    </row>
    <row r="31" spans="1:13" ht="15" customHeight="1" x14ac:dyDescent="0.3">
      <c r="A31" s="22" t="s">
        <v>131</v>
      </c>
      <c r="B31" s="23"/>
      <c r="C31" s="23"/>
      <c r="D31" s="23"/>
      <c r="E31" s="23"/>
      <c r="F31" s="23"/>
      <c r="G31" s="24"/>
      <c r="H31" s="25"/>
      <c r="I31" s="26"/>
      <c r="J31" s="67">
        <f>SUM(J22:K30)</f>
        <v>15.19</v>
      </c>
      <c r="K31" s="68"/>
    </row>
    <row r="32" spans="1:13" ht="15" customHeight="1" x14ac:dyDescent="0.3">
      <c r="A32" s="3"/>
      <c r="B32" s="3"/>
      <c r="C32" s="3"/>
      <c r="D32" s="3"/>
      <c r="E32" s="3"/>
      <c r="F32" s="3"/>
      <c r="G32" s="3"/>
      <c r="H32" s="3"/>
      <c r="I32" s="3"/>
      <c r="J32" s="3"/>
      <c r="K32" s="3"/>
    </row>
    <row r="33" spans="1:13" ht="15" customHeight="1" x14ac:dyDescent="0.3">
      <c r="A33" s="10" t="s">
        <v>63</v>
      </c>
      <c r="B33" s="10" t="s">
        <v>24</v>
      </c>
      <c r="C33" s="75" t="s">
        <v>8</v>
      </c>
      <c r="D33" s="76"/>
      <c r="E33" s="76"/>
      <c r="F33" s="76"/>
      <c r="G33" s="6" t="s">
        <v>25</v>
      </c>
      <c r="H33" s="6" t="s">
        <v>64</v>
      </c>
      <c r="I33" s="6" t="s">
        <v>65</v>
      </c>
      <c r="J33" s="62" t="s">
        <v>10</v>
      </c>
      <c r="K33" s="63"/>
    </row>
    <row r="34" spans="1:13" ht="15" customHeight="1" x14ac:dyDescent="0.3">
      <c r="A34" s="6" t="s">
        <v>87</v>
      </c>
      <c r="B34" s="27">
        <v>88245</v>
      </c>
      <c r="C34" s="84" t="str">
        <f>VLOOKUP(B34,S!$A:$D,2,FALSE)</f>
        <v>ARMADOR COM ENCARGOS COMPLEMENTARES</v>
      </c>
      <c r="D34" s="84"/>
      <c r="E34" s="84"/>
      <c r="F34" s="85"/>
      <c r="G34" s="6" t="str">
        <f>VLOOKUP(B34,S!$A:$D,3,FALSE)</f>
        <v>H</v>
      </c>
      <c r="H34" s="20"/>
      <c r="I34" s="20">
        <f>J43</f>
        <v>19.749999999999996</v>
      </c>
      <c r="J34" s="70"/>
      <c r="K34" s="71"/>
      <c r="L34" s="20">
        <f>VLOOKUP(B34,S!$A:$D,4,FALSE)</f>
        <v>19.75</v>
      </c>
      <c r="M34" s="6" t="str">
        <f>IF(ROUND((L34-I34),2)=0,"OK, confere com a tabela.",IF(ROUND((L34-I34),2)&lt;0,"ACIMA ("&amp;TEXT(ROUND(I34*100/L34,4),"0,0000")&amp;" %) da tabela.","ABAIXO ("&amp;TEXT(ROUND(I34*100/L34,4),"0,0000")&amp;" %) da tabela."))</f>
        <v>OK, confere com a tabela.</v>
      </c>
    </row>
    <row r="35" spans="1:13" ht="15" customHeight="1" x14ac:dyDescent="0.3">
      <c r="A35" s="17" t="s">
        <v>70</v>
      </c>
      <c r="B35" s="19">
        <v>378</v>
      </c>
      <c r="C35" s="64" t="str">
        <f>VLOOKUP(B35,IF(A35="COMPOSICAO",S!$A:$D,I!$A:$D),2,FALSE)</f>
        <v>ARMADOR</v>
      </c>
      <c r="D35" s="64"/>
      <c r="E35" s="64"/>
      <c r="F35" s="64"/>
      <c r="G35" s="17" t="str">
        <f>VLOOKUP(B35,IF(A35="COMPOSICAO",S!$A:$D,I!$A:$D),3,FALSE)</f>
        <v>H</v>
      </c>
      <c r="H35" s="18">
        <v>1</v>
      </c>
      <c r="I35" s="18">
        <f>IF(A35="COMPOSICAO",VLOOKUP("TOTAL - "&amp;B35,COMPOSICAO_AUX_5!$A:$J,10,FALSE),VLOOKUP(B35,I!$A:$D,4,FALSE))</f>
        <v>14.93</v>
      </c>
      <c r="J35" s="67">
        <f t="shared" ref="J35:J42" si="1">TRUNC(H35*I35,2)</f>
        <v>14.93</v>
      </c>
      <c r="K35" s="68"/>
    </row>
    <row r="36" spans="1:13" ht="15" customHeight="1" x14ac:dyDescent="0.3">
      <c r="A36" s="17" t="s">
        <v>70</v>
      </c>
      <c r="B36" s="19">
        <v>37370</v>
      </c>
      <c r="C36" s="64" t="str">
        <f>VLOOKUP(B36,IF(A36="COMPOSICAO",S!$A:$D,I!$A:$D),2,FALSE)</f>
        <v>ALIMENTACAO - HORISTA (COLETADO CAIXA)</v>
      </c>
      <c r="D36" s="64"/>
      <c r="E36" s="64"/>
      <c r="F36" s="64"/>
      <c r="G36" s="17" t="str">
        <f>VLOOKUP(B36,IF(A36="COMPOSICAO",S!$A:$D,I!$A:$D),3,FALSE)</f>
        <v>H</v>
      </c>
      <c r="H36" s="18">
        <v>1</v>
      </c>
      <c r="I36" s="18">
        <f>IF(A36="COMPOSICAO",VLOOKUP("TOTAL - "&amp;B36,COMPOSICAO_AUX_5!$A:$J,10,FALSE),VLOOKUP(B36,I!$A:$D,4,FALSE))</f>
        <v>1.86</v>
      </c>
      <c r="J36" s="67">
        <f t="shared" si="1"/>
        <v>1.86</v>
      </c>
      <c r="K36" s="68"/>
    </row>
    <row r="37" spans="1:13" ht="15" customHeight="1" x14ac:dyDescent="0.3">
      <c r="A37" s="17" t="s">
        <v>70</v>
      </c>
      <c r="B37" s="19">
        <v>37371</v>
      </c>
      <c r="C37" s="64" t="str">
        <f>VLOOKUP(B37,IF(A37="COMPOSICAO",S!$A:$D,I!$A:$D),2,FALSE)</f>
        <v>TRANSPORTE - HORISTA (COLETADO CAIXA)</v>
      </c>
      <c r="D37" s="64"/>
      <c r="E37" s="64"/>
      <c r="F37" s="64"/>
      <c r="G37" s="17" t="str">
        <f>VLOOKUP(B37,IF(A37="COMPOSICAO",S!$A:$D,I!$A:$D),3,FALSE)</f>
        <v>H</v>
      </c>
      <c r="H37" s="18">
        <v>1</v>
      </c>
      <c r="I37" s="18">
        <f>IF(A37="COMPOSICAO",VLOOKUP("TOTAL - "&amp;B37,COMPOSICAO_AUX_5!$A:$J,10,FALSE),VLOOKUP(B37,I!$A:$D,4,FALSE))</f>
        <v>0.7</v>
      </c>
      <c r="J37" s="67">
        <f t="shared" si="1"/>
        <v>0.7</v>
      </c>
      <c r="K37" s="68"/>
    </row>
    <row r="38" spans="1:13" ht="15" customHeight="1" x14ac:dyDescent="0.3">
      <c r="A38" s="17" t="s">
        <v>70</v>
      </c>
      <c r="B38" s="19">
        <v>37372</v>
      </c>
      <c r="C38" s="64" t="str">
        <f>VLOOKUP(B38,IF(A38="COMPOSICAO",S!$A:$D,I!$A:$D),2,FALSE)</f>
        <v>EXAMES - HORISTA (COLETADO CAIXA)</v>
      </c>
      <c r="D38" s="64"/>
      <c r="E38" s="64"/>
      <c r="F38" s="64"/>
      <c r="G38" s="17" t="str">
        <f>VLOOKUP(B38,IF(A38="COMPOSICAO",S!$A:$D,I!$A:$D),3,FALSE)</f>
        <v>H</v>
      </c>
      <c r="H38" s="18">
        <v>1</v>
      </c>
      <c r="I38" s="18">
        <f>IF(A38="COMPOSICAO",VLOOKUP("TOTAL - "&amp;B38,COMPOSICAO_AUX_5!$A:$J,10,FALSE),VLOOKUP(B38,I!$A:$D,4,FALSE))</f>
        <v>0.55000000000000004</v>
      </c>
      <c r="J38" s="67">
        <f t="shared" si="1"/>
        <v>0.55000000000000004</v>
      </c>
      <c r="K38" s="68"/>
    </row>
    <row r="39" spans="1:13" ht="15" customHeight="1" x14ac:dyDescent="0.3">
      <c r="A39" s="17" t="s">
        <v>70</v>
      </c>
      <c r="B39" s="19">
        <v>37373</v>
      </c>
      <c r="C39" s="64" t="str">
        <f>VLOOKUP(B39,IF(A39="COMPOSICAO",S!$A:$D,I!$A:$D),2,FALSE)</f>
        <v>SEGURO - HORISTA (COLETADO CAIXA)</v>
      </c>
      <c r="D39" s="64"/>
      <c r="E39" s="64"/>
      <c r="F39" s="64"/>
      <c r="G39" s="17" t="str">
        <f>VLOOKUP(B39,IF(A39="COMPOSICAO",S!$A:$D,I!$A:$D),3,FALSE)</f>
        <v>H</v>
      </c>
      <c r="H39" s="18">
        <v>1</v>
      </c>
      <c r="I39" s="18">
        <f>IF(A39="COMPOSICAO",VLOOKUP("TOTAL - "&amp;B39,COMPOSICAO_AUX_5!$A:$J,10,FALSE),VLOOKUP(B39,I!$A:$D,4,FALSE))</f>
        <v>0.06</v>
      </c>
      <c r="J39" s="67">
        <f t="shared" si="1"/>
        <v>0.06</v>
      </c>
      <c r="K39" s="68"/>
    </row>
    <row r="40" spans="1:13" ht="30" customHeight="1" x14ac:dyDescent="0.3">
      <c r="A40" s="17" t="s">
        <v>70</v>
      </c>
      <c r="B40" s="19">
        <v>43465</v>
      </c>
      <c r="C40" s="64" t="str">
        <f>VLOOKUP(B40,IF(A40="COMPOSICAO",S!$A:$D,I!$A:$D),2,FALSE)</f>
        <v>FERRAMENTAS - FAMILIA PEDREIRO - HORISTA (ENCARGOS COMPLEMENTARES - COLETADO CAIXA)</v>
      </c>
      <c r="D40" s="64"/>
      <c r="E40" s="64"/>
      <c r="F40" s="64"/>
      <c r="G40" s="17" t="str">
        <f>VLOOKUP(B40,IF(A40="COMPOSICAO",S!$A:$D,I!$A:$D),3,FALSE)</f>
        <v>H</v>
      </c>
      <c r="H40" s="18">
        <v>1</v>
      </c>
      <c r="I40" s="18">
        <f>IF(A40="COMPOSICAO",VLOOKUP("TOTAL - "&amp;B40,COMPOSICAO_AUX_5!$A:$J,10,FALSE),VLOOKUP(B40,I!$A:$D,4,FALSE))</f>
        <v>0.57999999999999996</v>
      </c>
      <c r="J40" s="67">
        <f t="shared" si="1"/>
        <v>0.57999999999999996</v>
      </c>
      <c r="K40" s="68"/>
    </row>
    <row r="41" spans="1:13" ht="30" customHeight="1" x14ac:dyDescent="0.3">
      <c r="A41" s="17" t="s">
        <v>70</v>
      </c>
      <c r="B41" s="19">
        <v>43489</v>
      </c>
      <c r="C41" s="64" t="str">
        <f>VLOOKUP(B41,IF(A41="COMPOSICAO",S!$A:$D,I!$A:$D),2,FALSE)</f>
        <v>EPI - FAMILIA PEDREIRO - HORISTA (ENCARGOS COMPLEMENTARES - COLETADO CAIXA)</v>
      </c>
      <c r="D41" s="64"/>
      <c r="E41" s="64"/>
      <c r="F41" s="64"/>
      <c r="G41" s="17" t="str">
        <f>VLOOKUP(B41,IF(A41="COMPOSICAO",S!$A:$D,I!$A:$D),3,FALSE)</f>
        <v>H</v>
      </c>
      <c r="H41" s="18">
        <v>1</v>
      </c>
      <c r="I41" s="18">
        <f>IF(A41="COMPOSICAO",VLOOKUP("TOTAL - "&amp;B41,COMPOSICAO_AUX_5!$A:$J,10,FALSE),VLOOKUP(B41,I!$A:$D,4,FALSE))</f>
        <v>0.95</v>
      </c>
      <c r="J41" s="67">
        <f t="shared" si="1"/>
        <v>0.95</v>
      </c>
      <c r="K41" s="68"/>
    </row>
    <row r="42" spans="1:13" ht="30" customHeight="1" x14ac:dyDescent="0.3">
      <c r="A42" s="17" t="s">
        <v>71</v>
      </c>
      <c r="B42" s="19">
        <v>95314</v>
      </c>
      <c r="C42" s="64" t="str">
        <f>VLOOKUP(B42,IF(A42="COMPOSICAO",S!$A:$D,I!$A:$D),2,FALSE)</f>
        <v>CURSO DE CAPACITAÇÃO PARA ARMADOR (ENCARGOS COMPLEMENTARES) - HORISTA</v>
      </c>
      <c r="D42" s="64"/>
      <c r="E42" s="64"/>
      <c r="F42" s="64"/>
      <c r="G42" s="17" t="str">
        <f>VLOOKUP(B42,IF(A42="COMPOSICAO",S!$A:$D,I!$A:$D),3,FALSE)</f>
        <v>H</v>
      </c>
      <c r="H42" s="18">
        <v>1</v>
      </c>
      <c r="I42" s="18">
        <f>IF(A42="COMPOSICAO",VLOOKUP("TOTAL - "&amp;B42,COMPOSICAO_AUX_5!$A:$J,10,FALSE),VLOOKUP(B42,I!$A:$D,4,FALSE))</f>
        <v>0.12</v>
      </c>
      <c r="J42" s="67">
        <f t="shared" si="1"/>
        <v>0.12</v>
      </c>
      <c r="K42" s="68"/>
    </row>
    <row r="43" spans="1:13" ht="15" customHeight="1" x14ac:dyDescent="0.3">
      <c r="A43" s="22" t="s">
        <v>132</v>
      </c>
      <c r="B43" s="23"/>
      <c r="C43" s="23"/>
      <c r="D43" s="23"/>
      <c r="E43" s="23"/>
      <c r="F43" s="23"/>
      <c r="G43" s="24"/>
      <c r="H43" s="25"/>
      <c r="I43" s="26"/>
      <c r="J43" s="67">
        <f>SUM(J34:K42)</f>
        <v>19.749999999999996</v>
      </c>
      <c r="K43" s="68"/>
    </row>
    <row r="44" spans="1:13" ht="15" customHeight="1" x14ac:dyDescent="0.3">
      <c r="A44" s="3"/>
      <c r="B44" s="3"/>
      <c r="C44" s="3"/>
      <c r="D44" s="3"/>
      <c r="E44" s="3"/>
      <c r="F44" s="3"/>
      <c r="G44" s="3"/>
      <c r="H44" s="3"/>
      <c r="I44" s="3"/>
      <c r="J44" s="3"/>
      <c r="K44" s="3"/>
    </row>
    <row r="45" spans="1:13" ht="15" customHeight="1" x14ac:dyDescent="0.3">
      <c r="A45" s="10" t="s">
        <v>63</v>
      </c>
      <c r="B45" s="10" t="s">
        <v>24</v>
      </c>
      <c r="C45" s="75" t="s">
        <v>8</v>
      </c>
      <c r="D45" s="76"/>
      <c r="E45" s="76"/>
      <c r="F45" s="76"/>
      <c r="G45" s="6" t="s">
        <v>25</v>
      </c>
      <c r="H45" s="6" t="s">
        <v>64</v>
      </c>
      <c r="I45" s="6" t="s">
        <v>65</v>
      </c>
      <c r="J45" s="62" t="s">
        <v>10</v>
      </c>
      <c r="K45" s="63"/>
    </row>
    <row r="46" spans="1:13" ht="30" customHeight="1" x14ac:dyDescent="0.3">
      <c r="A46" s="6" t="s">
        <v>87</v>
      </c>
      <c r="B46" s="27">
        <v>95378</v>
      </c>
      <c r="C46" s="84" t="str">
        <f>VLOOKUP(B46,S!$A:$D,2,FALSE)</f>
        <v>CURSO DE CAPACITAÇÃO PARA SERVENTE (ENCARGOS COMPLEMENTARES) - HORISTA</v>
      </c>
      <c r="D46" s="84"/>
      <c r="E46" s="84"/>
      <c r="F46" s="85"/>
      <c r="G46" s="6" t="str">
        <f>VLOOKUP(B46,S!$A:$D,3,FALSE)</f>
        <v>H</v>
      </c>
      <c r="H46" s="20"/>
      <c r="I46" s="20">
        <f>J48</f>
        <v>0.16</v>
      </c>
      <c r="J46" s="70"/>
      <c r="K46" s="71"/>
      <c r="L46" s="20">
        <f>VLOOKUP(B46,S!$A:$D,4,FALSE)</f>
        <v>0.16</v>
      </c>
      <c r="M46" s="6" t="str">
        <f>IF(ROUND((L46-I46),2)=0,"OK, confere com a tabela.",IF(ROUND((L46-I46),2)&lt;0,"ACIMA ("&amp;TEXT(ROUND(I46*100/L46,4),"0,0000")&amp;" %) da tabela.","ABAIXO ("&amp;TEXT(ROUND(I46*100/L46,4),"0,0000")&amp;" %) da tabela."))</f>
        <v>OK, confere com a tabela.</v>
      </c>
    </row>
    <row r="47" spans="1:13" ht="15" customHeight="1" x14ac:dyDescent="0.3">
      <c r="A47" s="17" t="s">
        <v>70</v>
      </c>
      <c r="B47" s="19">
        <v>6111</v>
      </c>
      <c r="C47" s="64" t="str">
        <f>VLOOKUP(B47,IF(A47="COMPOSICAO",S!$A:$D,I!$A:$D),2,FALSE)</f>
        <v>SERVENTE DE OBRAS</v>
      </c>
      <c r="D47" s="64"/>
      <c r="E47" s="64"/>
      <c r="F47" s="64"/>
      <c r="G47" s="17" t="str">
        <f>VLOOKUP(B47,IF(A47="COMPOSICAO",S!$A:$D,I!$A:$D),3,FALSE)</f>
        <v>H</v>
      </c>
      <c r="H47" s="29">
        <v>1.5100000000000001E-2</v>
      </c>
      <c r="I47" s="18">
        <f>IF(A47="COMPOSICAO",VLOOKUP("TOTAL - "&amp;B47,COMPOSICAO_AUX_5!$A:$J,10,FALSE),VLOOKUP(B47,I!$A:$D,4,FALSE))</f>
        <v>10.6</v>
      </c>
      <c r="J47" s="67">
        <f>TRUNC(H47*I47,2)</f>
        <v>0.16</v>
      </c>
      <c r="K47" s="68"/>
    </row>
    <row r="48" spans="1:13" ht="15" customHeight="1" x14ac:dyDescent="0.3">
      <c r="A48" s="22" t="s">
        <v>104</v>
      </c>
      <c r="B48" s="23"/>
      <c r="C48" s="23"/>
      <c r="D48" s="23"/>
      <c r="E48" s="23"/>
      <c r="F48" s="23"/>
      <c r="G48" s="24"/>
      <c r="H48" s="25"/>
      <c r="I48" s="26"/>
      <c r="J48" s="67">
        <f>SUM(J46:K47)</f>
        <v>0.16</v>
      </c>
      <c r="K48" s="68"/>
    </row>
    <row r="49" spans="1:13" ht="15" customHeight="1" x14ac:dyDescent="0.3">
      <c r="A49" s="3"/>
      <c r="B49" s="3"/>
      <c r="C49" s="3"/>
      <c r="D49" s="3"/>
      <c r="E49" s="3"/>
      <c r="F49" s="3"/>
      <c r="G49" s="3"/>
      <c r="H49" s="3"/>
      <c r="I49" s="3"/>
      <c r="J49" s="3"/>
      <c r="K49" s="3"/>
    </row>
    <row r="50" spans="1:13" ht="15" customHeight="1" x14ac:dyDescent="0.3">
      <c r="A50" s="10" t="s">
        <v>63</v>
      </c>
      <c r="B50" s="10" t="s">
        <v>24</v>
      </c>
      <c r="C50" s="75" t="s">
        <v>8</v>
      </c>
      <c r="D50" s="76"/>
      <c r="E50" s="76"/>
      <c r="F50" s="76"/>
      <c r="G50" s="6" t="s">
        <v>25</v>
      </c>
      <c r="H50" s="6" t="s">
        <v>64</v>
      </c>
      <c r="I50" s="6" t="s">
        <v>65</v>
      </c>
      <c r="J50" s="62" t="s">
        <v>10</v>
      </c>
      <c r="K50" s="63"/>
    </row>
    <row r="51" spans="1:13" ht="45" customHeight="1" x14ac:dyDescent="0.3">
      <c r="A51" s="6" t="s">
        <v>87</v>
      </c>
      <c r="B51" s="27">
        <v>95389</v>
      </c>
      <c r="C51" s="84" t="str">
        <f>VLOOKUP(B51,S!$A:$D,2,FALSE)</f>
        <v>CURSO DE CAPACITAÇÃO PARA OPERADOR DE BETONEIRA ESTACIONÁRIA/MISTURADOR (ENCARGOS COMPLEMENTARES) - HORISTA</v>
      </c>
      <c r="D51" s="84"/>
      <c r="E51" s="84"/>
      <c r="F51" s="85"/>
      <c r="G51" s="6" t="str">
        <f>VLOOKUP(B51,S!$A:$D,3,FALSE)</f>
        <v>H</v>
      </c>
      <c r="H51" s="20"/>
      <c r="I51" s="20">
        <f>J53</f>
        <v>0.09</v>
      </c>
      <c r="J51" s="70"/>
      <c r="K51" s="71"/>
      <c r="L51" s="20">
        <f>VLOOKUP(B51,S!$A:$D,4,FALSE)</f>
        <v>0.09</v>
      </c>
      <c r="M51" s="6" t="str">
        <f>IF(ROUND((L51-I51),2)=0,"OK, confere com a tabela.",IF(ROUND((L51-I51),2)&lt;0,"ACIMA ("&amp;TEXT(ROUND(I51*100/L51,4),"0,0000")&amp;" %) da tabela.","ABAIXO ("&amp;TEXT(ROUND(I51*100/L51,4),"0,0000")&amp;" %) da tabela."))</f>
        <v>OK, confere com a tabela.</v>
      </c>
    </row>
    <row r="52" spans="1:13" ht="30" customHeight="1" x14ac:dyDescent="0.3">
      <c r="A52" s="17" t="s">
        <v>70</v>
      </c>
      <c r="B52" s="19">
        <v>37666</v>
      </c>
      <c r="C52" s="64" t="str">
        <f>VLOOKUP(B52,IF(A52="COMPOSICAO",S!$A:$D,I!$A:$D),2,FALSE)</f>
        <v>OPERADOR DE BETONEIRA ESTACIONARIA / MISTURADOR</v>
      </c>
      <c r="D52" s="64"/>
      <c r="E52" s="64"/>
      <c r="F52" s="64"/>
      <c r="G52" s="17" t="str">
        <f>VLOOKUP(B52,IF(A52="COMPOSICAO",S!$A:$D,I!$A:$D),3,FALSE)</f>
        <v>H</v>
      </c>
      <c r="H52" s="29">
        <v>5.8999999999999999E-3</v>
      </c>
      <c r="I52" s="18">
        <f>IF(A52="COMPOSICAO",VLOOKUP("TOTAL - "&amp;B52,COMPOSICAO_AUX_5!$A:$J,10,FALSE),VLOOKUP(B52,I!$A:$D,4,FALSE))</f>
        <v>15.42</v>
      </c>
      <c r="J52" s="67">
        <f>TRUNC(H52*I52,2)</f>
        <v>0.09</v>
      </c>
      <c r="K52" s="68"/>
    </row>
    <row r="53" spans="1:13" ht="15" customHeight="1" x14ac:dyDescent="0.3">
      <c r="A53" s="22" t="s">
        <v>153</v>
      </c>
      <c r="B53" s="23"/>
      <c r="C53" s="23"/>
      <c r="D53" s="23"/>
      <c r="E53" s="23"/>
      <c r="F53" s="23"/>
      <c r="G53" s="24"/>
      <c r="H53" s="25"/>
      <c r="I53" s="26"/>
      <c r="J53" s="67">
        <f>SUM(J51:K52)</f>
        <v>0.09</v>
      </c>
      <c r="K53" s="68"/>
    </row>
    <row r="54" spans="1:13" ht="15" customHeight="1" x14ac:dyDescent="0.3">
      <c r="A54" s="3"/>
      <c r="B54" s="3"/>
      <c r="C54" s="3"/>
      <c r="D54" s="3"/>
      <c r="E54" s="3"/>
      <c r="F54" s="3"/>
      <c r="G54" s="3"/>
      <c r="H54" s="3"/>
      <c r="I54" s="3"/>
      <c r="J54" s="3"/>
      <c r="K54" s="3"/>
    </row>
    <row r="55" spans="1:13" ht="15" customHeight="1" x14ac:dyDescent="0.3">
      <c r="A55" s="10" t="s">
        <v>63</v>
      </c>
      <c r="B55" s="10" t="s">
        <v>24</v>
      </c>
      <c r="C55" s="75" t="s">
        <v>8</v>
      </c>
      <c r="D55" s="76"/>
      <c r="E55" s="76"/>
      <c r="F55" s="76"/>
      <c r="G55" s="6" t="s">
        <v>25</v>
      </c>
      <c r="H55" s="6" t="s">
        <v>64</v>
      </c>
      <c r="I55" s="6" t="s">
        <v>65</v>
      </c>
      <c r="J55" s="62" t="s">
        <v>10</v>
      </c>
      <c r="K55" s="63"/>
    </row>
    <row r="56" spans="1:13" ht="60" customHeight="1" x14ac:dyDescent="0.3">
      <c r="A56" s="6" t="s">
        <v>107</v>
      </c>
      <c r="B56" s="27">
        <v>89221</v>
      </c>
      <c r="C56" s="84" t="str">
        <f>VLOOKUP(B56,S!$A:$D,2,FALSE)</f>
        <v>BETONEIRA CAPACIDADE NOMINAL DE 600 L, CAPACIDADE DE MISTURA 360 L, MOTOR ELÉTRICO TRIFÁSICO POTÊNCIA DE 4 CV, SEM CARREGADOR - DEPRECIAÇÃO. AF_11/2014</v>
      </c>
      <c r="D56" s="84"/>
      <c r="E56" s="84"/>
      <c r="F56" s="85"/>
      <c r="G56" s="6" t="str">
        <f>VLOOKUP(B56,S!$A:$D,3,FALSE)</f>
        <v>H</v>
      </c>
      <c r="H56" s="20"/>
      <c r="I56" s="20">
        <f>J58</f>
        <v>1.17</v>
      </c>
      <c r="J56" s="70"/>
      <c r="K56" s="71"/>
      <c r="L56" s="20">
        <f>VLOOKUP(B56,S!$A:$D,4,FALSE)</f>
        <v>1.17</v>
      </c>
      <c r="M56" s="6" t="str">
        <f>IF(ROUND((L56-I56),2)=0,"OK, confere com a tabela.",IF(ROUND((L56-I56),2)&lt;0,"ACIMA ("&amp;TEXT(ROUND(I56*100/L56,4),"0,0000")&amp;" %) da tabela.","ABAIXO ("&amp;TEXT(ROUND(I56*100/L56,4),"0,0000")&amp;" %) da tabela."))</f>
        <v>OK, confere com a tabela.</v>
      </c>
    </row>
    <row r="57" spans="1:13" ht="45" customHeight="1" x14ac:dyDescent="0.3">
      <c r="A57" s="17" t="s">
        <v>70</v>
      </c>
      <c r="B57" s="19">
        <v>36397</v>
      </c>
      <c r="C57" s="64" t="str">
        <f>VLOOKUP(B57,IF(A57="COMPOSICAO",S!$A:$D,I!$A:$D),2,FALSE)</f>
        <v>BETONEIRA, CAPACIDADE NOMINAL 600 L, CAPACIDADE DE MISTURA  360L, MOTOR ELETRICO TRIFASICO 220/380V, POTENCIA 4CV, EXCLUSO CARREGADOR</v>
      </c>
      <c r="D57" s="64"/>
      <c r="E57" s="64"/>
      <c r="F57" s="64"/>
      <c r="G57" s="17" t="str">
        <f>VLOOKUP(B57,IF(A57="COMPOSICAO",S!$A:$D,I!$A:$D),3,FALSE)</f>
        <v>UN</v>
      </c>
      <c r="H57" s="30">
        <v>6.3999999999999997E-5</v>
      </c>
      <c r="I57" s="18">
        <f>IF(A57="COMPOSICAO",VLOOKUP("TOTAL - "&amp;B57,COMPOSICAO_AUX_5!$A:$J,10,FALSE),VLOOKUP(B57,I!$A:$D,4,FALSE))</f>
        <v>18305.080000000002</v>
      </c>
      <c r="J57" s="67">
        <f>TRUNC(H57*I57,2)</f>
        <v>1.17</v>
      </c>
      <c r="K57" s="68"/>
    </row>
    <row r="58" spans="1:13" ht="15" customHeight="1" x14ac:dyDescent="0.3">
      <c r="A58" s="22" t="s">
        <v>154</v>
      </c>
      <c r="B58" s="23"/>
      <c r="C58" s="23"/>
      <c r="D58" s="23"/>
      <c r="E58" s="23"/>
      <c r="F58" s="23"/>
      <c r="G58" s="24"/>
      <c r="H58" s="25"/>
      <c r="I58" s="26"/>
      <c r="J58" s="67">
        <f>SUM(J56:K57)</f>
        <v>1.17</v>
      </c>
      <c r="K58" s="68"/>
    </row>
    <row r="59" spans="1:13" ht="15" customHeight="1" x14ac:dyDescent="0.3">
      <c r="A59" s="3"/>
      <c r="B59" s="3"/>
      <c r="C59" s="3"/>
      <c r="D59" s="3"/>
      <c r="E59" s="3"/>
      <c r="F59" s="3"/>
      <c r="G59" s="3"/>
      <c r="H59" s="3"/>
      <c r="I59" s="3"/>
      <c r="J59" s="3"/>
      <c r="K59" s="3"/>
    </row>
    <row r="60" spans="1:13" ht="15" customHeight="1" x14ac:dyDescent="0.3">
      <c r="A60" s="10" t="s">
        <v>63</v>
      </c>
      <c r="B60" s="10" t="s">
        <v>24</v>
      </c>
      <c r="C60" s="75" t="s">
        <v>8</v>
      </c>
      <c r="D60" s="76"/>
      <c r="E60" s="76"/>
      <c r="F60" s="76"/>
      <c r="G60" s="6" t="s">
        <v>25</v>
      </c>
      <c r="H60" s="6" t="s">
        <v>64</v>
      </c>
      <c r="I60" s="6" t="s">
        <v>65</v>
      </c>
      <c r="J60" s="62" t="s">
        <v>10</v>
      </c>
      <c r="K60" s="63"/>
    </row>
    <row r="61" spans="1:13" ht="60" customHeight="1" x14ac:dyDescent="0.3">
      <c r="A61" s="6" t="s">
        <v>107</v>
      </c>
      <c r="B61" s="27">
        <v>89222</v>
      </c>
      <c r="C61" s="84" t="str">
        <f>VLOOKUP(B61,S!$A:$D,2,FALSE)</f>
        <v>BETONEIRA CAPACIDADE NOMINAL DE 600 L, CAPACIDADE DE MISTURA 360 L, MOTOR ELÉTRICO TRIFÁSICO POTÊNCIA DE 4 CV, SEM CARREGADOR - JUROS. AF_11/2014</v>
      </c>
      <c r="D61" s="84"/>
      <c r="E61" s="84"/>
      <c r="F61" s="85"/>
      <c r="G61" s="6" t="str">
        <f>VLOOKUP(B61,S!$A:$D,3,FALSE)</f>
        <v>H</v>
      </c>
      <c r="H61" s="20"/>
      <c r="I61" s="20">
        <f>J63</f>
        <v>0.13</v>
      </c>
      <c r="J61" s="70"/>
      <c r="K61" s="71"/>
      <c r="L61" s="20">
        <f>VLOOKUP(B61,S!$A:$D,4,FALSE)</f>
        <v>0.13</v>
      </c>
      <c r="M61" s="6" t="str">
        <f>IF(ROUND((L61-I61),2)=0,"OK, confere com a tabela.",IF(ROUND((L61-I61),2)&lt;0,"ACIMA ("&amp;TEXT(ROUND(I61*100/L61,4),"0,0000")&amp;" %) da tabela.","ABAIXO ("&amp;TEXT(ROUND(I61*100/L61,4),"0,0000")&amp;" %) da tabela."))</f>
        <v>OK, confere com a tabela.</v>
      </c>
    </row>
    <row r="62" spans="1:13" ht="45" customHeight="1" x14ac:dyDescent="0.3">
      <c r="A62" s="17" t="s">
        <v>70</v>
      </c>
      <c r="B62" s="19">
        <v>36397</v>
      </c>
      <c r="C62" s="64" t="str">
        <f>VLOOKUP(B62,IF(A62="COMPOSICAO",S!$A:$D,I!$A:$D),2,FALSE)</f>
        <v>BETONEIRA, CAPACIDADE NOMINAL 600 L, CAPACIDADE DE MISTURA  360L, MOTOR ELETRICO TRIFASICO 220/380V, POTENCIA 4CV, EXCLUSO CARREGADOR</v>
      </c>
      <c r="D62" s="64"/>
      <c r="E62" s="64"/>
      <c r="F62" s="64"/>
      <c r="G62" s="17" t="str">
        <f>VLOOKUP(B62,IF(A62="COMPOSICAO",S!$A:$D,I!$A:$D),3,FALSE)</f>
        <v>UN</v>
      </c>
      <c r="H62" s="31">
        <v>7.6000000000000001E-6</v>
      </c>
      <c r="I62" s="18">
        <f>IF(A62="COMPOSICAO",VLOOKUP("TOTAL - "&amp;B62,COMPOSICAO_AUX_5!$A:$J,10,FALSE),VLOOKUP(B62,I!$A:$D,4,FALSE))</f>
        <v>18305.080000000002</v>
      </c>
      <c r="J62" s="67">
        <f>TRUNC(H62*I62,2)</f>
        <v>0.13</v>
      </c>
      <c r="K62" s="68"/>
    </row>
    <row r="63" spans="1:13" ht="15" customHeight="1" x14ac:dyDescent="0.3">
      <c r="A63" s="22" t="s">
        <v>155</v>
      </c>
      <c r="B63" s="23"/>
      <c r="C63" s="23"/>
      <c r="D63" s="23"/>
      <c r="E63" s="23"/>
      <c r="F63" s="23"/>
      <c r="G63" s="24"/>
      <c r="H63" s="25"/>
      <c r="I63" s="26"/>
      <c r="J63" s="67">
        <f>SUM(J61:K62)</f>
        <v>0.13</v>
      </c>
      <c r="K63" s="68"/>
    </row>
    <row r="64" spans="1:13" ht="15" customHeight="1" x14ac:dyDescent="0.3">
      <c r="A64" s="3"/>
      <c r="B64" s="3"/>
      <c r="C64" s="3"/>
      <c r="D64" s="3"/>
      <c r="E64" s="3"/>
      <c r="F64" s="3"/>
      <c r="G64" s="3"/>
      <c r="H64" s="3"/>
      <c r="I64" s="3"/>
      <c r="J64" s="3"/>
      <c r="K64" s="3"/>
    </row>
    <row r="65" spans="1:13" ht="15" customHeight="1" x14ac:dyDescent="0.3">
      <c r="A65" s="10" t="s">
        <v>63</v>
      </c>
      <c r="B65" s="10" t="s">
        <v>24</v>
      </c>
      <c r="C65" s="75" t="s">
        <v>8</v>
      </c>
      <c r="D65" s="76"/>
      <c r="E65" s="76"/>
      <c r="F65" s="76"/>
      <c r="G65" s="6" t="s">
        <v>25</v>
      </c>
      <c r="H65" s="6" t="s">
        <v>64</v>
      </c>
      <c r="I65" s="6" t="s">
        <v>65</v>
      </c>
      <c r="J65" s="62" t="s">
        <v>10</v>
      </c>
      <c r="K65" s="63"/>
    </row>
    <row r="66" spans="1:13" ht="60" customHeight="1" x14ac:dyDescent="0.3">
      <c r="A66" s="6" t="s">
        <v>107</v>
      </c>
      <c r="B66" s="27">
        <v>89223</v>
      </c>
      <c r="C66" s="84" t="str">
        <f>VLOOKUP(B66,S!$A:$D,2,FALSE)</f>
        <v>BETONEIRA CAPACIDADE NOMINAL DE 600 L, CAPACIDADE DE MISTURA 360 L, MOTOR ELÉTRICO TRIFÁSICO POTÊNCIA DE 4 CV, SEM CARREGADOR - MANUTENÇÃO. AF_11/2014</v>
      </c>
      <c r="D66" s="84"/>
      <c r="E66" s="84"/>
      <c r="F66" s="85"/>
      <c r="G66" s="6" t="str">
        <f>VLOOKUP(B66,S!$A:$D,3,FALSE)</f>
        <v>H</v>
      </c>
      <c r="H66" s="20"/>
      <c r="I66" s="20">
        <f>J68</f>
        <v>1.0900000000000001</v>
      </c>
      <c r="J66" s="70"/>
      <c r="K66" s="71"/>
      <c r="L66" s="20">
        <f>VLOOKUP(B66,S!$A:$D,4,FALSE)</f>
        <v>1.0900000000000001</v>
      </c>
      <c r="M66" s="6" t="str">
        <f>IF(ROUND((L66-I66),2)=0,"OK, confere com a tabela.",IF(ROUND((L66-I66),2)&lt;0,"ACIMA ("&amp;TEXT(ROUND(I66*100/L66,4),"0,0000")&amp;" %) da tabela.","ABAIXO ("&amp;TEXT(ROUND(I66*100/L66,4),"0,0000")&amp;" %) da tabela."))</f>
        <v>OK, confere com a tabela.</v>
      </c>
    </row>
    <row r="67" spans="1:13" ht="45" customHeight="1" x14ac:dyDescent="0.3">
      <c r="A67" s="17" t="s">
        <v>70</v>
      </c>
      <c r="B67" s="19">
        <v>36397</v>
      </c>
      <c r="C67" s="64" t="str">
        <f>VLOOKUP(B67,IF(A67="COMPOSICAO",S!$A:$D,I!$A:$D),2,FALSE)</f>
        <v>BETONEIRA, CAPACIDADE NOMINAL 600 L, CAPACIDADE DE MISTURA  360L, MOTOR ELETRICO TRIFASICO 220/380V, POTENCIA 4CV, EXCLUSO CARREGADOR</v>
      </c>
      <c r="D67" s="64"/>
      <c r="E67" s="64"/>
      <c r="F67" s="64"/>
      <c r="G67" s="17" t="str">
        <f>VLOOKUP(B67,IF(A67="COMPOSICAO",S!$A:$D,I!$A:$D),3,FALSE)</f>
        <v>UN</v>
      </c>
      <c r="H67" s="32">
        <v>6.0000000000000002E-5</v>
      </c>
      <c r="I67" s="18">
        <f>IF(A67="COMPOSICAO",VLOOKUP("TOTAL - "&amp;B67,COMPOSICAO_AUX_5!$A:$J,10,FALSE),VLOOKUP(B67,I!$A:$D,4,FALSE))</f>
        <v>18305.080000000002</v>
      </c>
      <c r="J67" s="67">
        <f>TRUNC(H67*I67,2)</f>
        <v>1.0900000000000001</v>
      </c>
      <c r="K67" s="68"/>
    </row>
    <row r="68" spans="1:13" ht="15" customHeight="1" x14ac:dyDescent="0.3">
      <c r="A68" s="22" t="s">
        <v>156</v>
      </c>
      <c r="B68" s="23"/>
      <c r="C68" s="23"/>
      <c r="D68" s="23"/>
      <c r="E68" s="23"/>
      <c r="F68" s="23"/>
      <c r="G68" s="24"/>
      <c r="H68" s="25"/>
      <c r="I68" s="26"/>
      <c r="J68" s="67">
        <f>SUM(J66:K67)</f>
        <v>1.0900000000000001</v>
      </c>
      <c r="K68" s="68"/>
    </row>
    <row r="69" spans="1:13" ht="15" customHeight="1" x14ac:dyDescent="0.3">
      <c r="A69" s="3"/>
      <c r="B69" s="3"/>
      <c r="C69" s="3"/>
      <c r="D69" s="3"/>
      <c r="E69" s="3"/>
      <c r="F69" s="3"/>
      <c r="G69" s="3"/>
      <c r="H69" s="3"/>
      <c r="I69" s="3"/>
      <c r="J69" s="3"/>
      <c r="K69" s="3"/>
    </row>
    <row r="70" spans="1:13" ht="15" customHeight="1" x14ac:dyDescent="0.3">
      <c r="A70" s="10" t="s">
        <v>63</v>
      </c>
      <c r="B70" s="10" t="s">
        <v>24</v>
      </c>
      <c r="C70" s="75" t="s">
        <v>8</v>
      </c>
      <c r="D70" s="76"/>
      <c r="E70" s="76"/>
      <c r="F70" s="76"/>
      <c r="G70" s="6" t="s">
        <v>25</v>
      </c>
      <c r="H70" s="6" t="s">
        <v>64</v>
      </c>
      <c r="I70" s="6" t="s">
        <v>65</v>
      </c>
      <c r="J70" s="62" t="s">
        <v>10</v>
      </c>
      <c r="K70" s="63"/>
    </row>
    <row r="71" spans="1:13" ht="60" customHeight="1" x14ac:dyDescent="0.3">
      <c r="A71" s="6" t="s">
        <v>107</v>
      </c>
      <c r="B71" s="27">
        <v>89224</v>
      </c>
      <c r="C71" s="84" t="str">
        <f>VLOOKUP(B71,S!$A:$D,2,FALSE)</f>
        <v>BETONEIRA CAPACIDADE NOMINAL DE 600 L, CAPACIDADE DE MISTURA 360 L, MOTOR ELÉTRICO TRIFÁSICO POTÊNCIA DE 4 CV, SEM CARREGADOR - MATERIAIS NA OPERAÇÃO. AF_11/2014</v>
      </c>
      <c r="D71" s="84"/>
      <c r="E71" s="84"/>
      <c r="F71" s="85"/>
      <c r="G71" s="6" t="str">
        <f>VLOOKUP(B71,S!$A:$D,3,FALSE)</f>
        <v>H</v>
      </c>
      <c r="H71" s="20"/>
      <c r="I71" s="20">
        <f>J73</f>
        <v>1.9</v>
      </c>
      <c r="J71" s="70"/>
      <c r="K71" s="71"/>
      <c r="L71" s="20">
        <f>VLOOKUP(B71,S!$A:$D,4,FALSE)</f>
        <v>1.9</v>
      </c>
      <c r="M71" s="6" t="str">
        <f>IF(ROUND((L71-I71),2)=0,"OK, confere com a tabela.",IF(ROUND((L71-I71),2)&lt;0,"ACIMA ("&amp;TEXT(ROUND(I71*100/L71,4),"0,0000")&amp;" %) da tabela.","ABAIXO ("&amp;TEXT(ROUND(I71*100/L71,4),"0,0000")&amp;" %) da tabela."))</f>
        <v>OK, confere com a tabela.</v>
      </c>
    </row>
    <row r="72" spans="1:13" ht="30" customHeight="1" x14ac:dyDescent="0.3">
      <c r="A72" s="17" t="s">
        <v>70</v>
      </c>
      <c r="B72" s="19">
        <v>2705</v>
      </c>
      <c r="C72" s="64" t="str">
        <f>VLOOKUP(B72,IF(A72="COMPOSICAO",S!$A:$D,I!$A:$D),2,FALSE)</f>
        <v>ENERGIA ELETRICA ATE 2000 KWH INDUSTRIAL, SEM DEMANDA</v>
      </c>
      <c r="D72" s="64"/>
      <c r="E72" s="64"/>
      <c r="F72" s="64"/>
      <c r="G72" s="17" t="str">
        <f>VLOOKUP(B72,IF(A72="COMPOSICAO",S!$A:$D,I!$A:$D),3,FALSE)</f>
        <v>KW/H</v>
      </c>
      <c r="H72" s="18">
        <v>2.5</v>
      </c>
      <c r="I72" s="18">
        <f>IF(A72="COMPOSICAO",VLOOKUP("TOTAL - "&amp;B72,COMPOSICAO_AUX_5!$A:$J,10,FALSE),VLOOKUP(B72,I!$A:$D,4,FALSE))</f>
        <v>0.76</v>
      </c>
      <c r="J72" s="67">
        <f>TRUNC(H72*I72,2)</f>
        <v>1.9</v>
      </c>
      <c r="K72" s="68"/>
    </row>
    <row r="73" spans="1:13" ht="15" customHeight="1" x14ac:dyDescent="0.3">
      <c r="A73" s="22" t="s">
        <v>157</v>
      </c>
      <c r="B73" s="23"/>
      <c r="C73" s="23"/>
      <c r="D73" s="23"/>
      <c r="E73" s="23"/>
      <c r="F73" s="23"/>
      <c r="G73" s="24"/>
      <c r="H73" s="25"/>
      <c r="I73" s="26"/>
      <c r="J73" s="67">
        <f>SUM(J71:K72)</f>
        <v>1.9</v>
      </c>
      <c r="K73" s="68"/>
    </row>
    <row r="74" spans="1:13" ht="15" customHeight="1" x14ac:dyDescent="0.3">
      <c r="A74" s="3"/>
      <c r="B74" s="3"/>
      <c r="C74" s="3"/>
      <c r="D74" s="3"/>
      <c r="E74" s="3"/>
      <c r="F74" s="3"/>
      <c r="G74" s="3"/>
      <c r="H74" s="3"/>
      <c r="I74" s="3"/>
      <c r="J74" s="3"/>
      <c r="K74" s="3"/>
    </row>
    <row r="75" spans="1:13" ht="15" customHeight="1" x14ac:dyDescent="0.3">
      <c r="A75" s="10" t="s">
        <v>63</v>
      </c>
      <c r="B75" s="10" t="s">
        <v>24</v>
      </c>
      <c r="C75" s="75" t="s">
        <v>8</v>
      </c>
      <c r="D75" s="76"/>
      <c r="E75" s="76"/>
      <c r="F75" s="76"/>
      <c r="G75" s="6" t="s">
        <v>25</v>
      </c>
      <c r="H75" s="6" t="s">
        <v>64</v>
      </c>
      <c r="I75" s="6" t="s">
        <v>65</v>
      </c>
      <c r="J75" s="62" t="s">
        <v>10</v>
      </c>
      <c r="K75" s="63"/>
    </row>
    <row r="76" spans="1:13" ht="45" customHeight="1" x14ac:dyDescent="0.3">
      <c r="A76" s="6" t="s">
        <v>87</v>
      </c>
      <c r="B76" s="27">
        <v>95351</v>
      </c>
      <c r="C76" s="84" t="str">
        <f>VLOOKUP(B76,S!$A:$D,2,FALSE)</f>
        <v>CURSO DE CAPACITAÇÃO PARA MOTORISTA OPERADOR DE MUNCK (ENCARGOS COMPLEMENTARES) - HORISTA</v>
      </c>
      <c r="D76" s="84"/>
      <c r="E76" s="84"/>
      <c r="F76" s="85"/>
      <c r="G76" s="6" t="str">
        <f>VLOOKUP(B76,S!$A:$D,3,FALSE)</f>
        <v>H</v>
      </c>
      <c r="H76" s="20"/>
      <c r="I76" s="20">
        <f>J78</f>
        <v>0.23</v>
      </c>
      <c r="J76" s="70"/>
      <c r="K76" s="71"/>
      <c r="L76" s="20">
        <f>VLOOKUP(B76,S!$A:$D,4,FALSE)</f>
        <v>0.23</v>
      </c>
      <c r="M76" s="6" t="str">
        <f>IF(ROUND((L76-I76),2)=0,"OK, confere com a tabela.",IF(ROUND((L76-I76),2)&lt;0,"ACIMA ("&amp;TEXT(ROUND(I76*100/L76,4),"0,0000")&amp;" %) da tabela.","ABAIXO ("&amp;TEXT(ROUND(I76*100/L76,4),"0,0000")&amp;" %) da tabela."))</f>
        <v>OK, confere com a tabela.</v>
      </c>
    </row>
    <row r="77" spans="1:13" ht="15" customHeight="1" x14ac:dyDescent="0.3">
      <c r="A77" s="17" t="s">
        <v>70</v>
      </c>
      <c r="B77" s="19">
        <v>4096</v>
      </c>
      <c r="C77" s="64" t="str">
        <f>VLOOKUP(B77,IF(A77="COMPOSICAO",S!$A:$D,I!$A:$D),2,FALSE)</f>
        <v>MOTORISTA OPERADOR DE CAMINHAO COM MUNCK</v>
      </c>
      <c r="D77" s="64"/>
      <c r="E77" s="64"/>
      <c r="F77" s="64"/>
      <c r="G77" s="17" t="str">
        <f>VLOOKUP(B77,IF(A77="COMPOSICAO",S!$A:$D,I!$A:$D),3,FALSE)</f>
        <v>H</v>
      </c>
      <c r="H77" s="29">
        <v>1.17E-2</v>
      </c>
      <c r="I77" s="18">
        <f>IF(A77="COMPOSICAO",VLOOKUP("TOTAL - "&amp;B77,COMPOSICAO_AUX_5!$A:$J,10,FALSE),VLOOKUP(B77,I!$A:$D,4,FALSE))</f>
        <v>20.43</v>
      </c>
      <c r="J77" s="67">
        <f>TRUNC(H77*I77,2)</f>
        <v>0.23</v>
      </c>
      <c r="K77" s="68"/>
    </row>
    <row r="78" spans="1:13" ht="15" customHeight="1" x14ac:dyDescent="0.3">
      <c r="A78" s="22" t="s">
        <v>158</v>
      </c>
      <c r="B78" s="23"/>
      <c r="C78" s="23"/>
      <c r="D78" s="23"/>
      <c r="E78" s="23"/>
      <c r="F78" s="23"/>
      <c r="G78" s="24"/>
      <c r="H78" s="25"/>
      <c r="I78" s="26"/>
      <c r="J78" s="67">
        <f>SUM(J76:K77)</f>
        <v>0.23</v>
      </c>
      <c r="K78" s="68"/>
    </row>
    <row r="79" spans="1:13" ht="15" customHeight="1" x14ac:dyDescent="0.3">
      <c r="A79" s="3"/>
      <c r="B79" s="3"/>
      <c r="C79" s="3"/>
      <c r="D79" s="3"/>
      <c r="E79" s="3"/>
      <c r="F79" s="3"/>
      <c r="G79" s="3"/>
      <c r="H79" s="3"/>
      <c r="I79" s="3"/>
      <c r="J79" s="3"/>
      <c r="K79" s="3"/>
    </row>
  </sheetData>
  <sheetProtection formatCells="0" formatColumns="0" formatRows="0" insertColumns="0" insertRows="0" insertHyperlinks="0" deleteColumns="0" deleteRows="0" sort="0" autoFilter="0" pivotTables="0"/>
  <mergeCells count="115">
    <mergeCell ref="A1:K1"/>
    <mergeCell ref="A2:K2"/>
    <mergeCell ref="A3:K3"/>
    <mergeCell ref="C6:F6"/>
    <mergeCell ref="J6:K6"/>
    <mergeCell ref="C7:F7"/>
    <mergeCell ref="J7:K7"/>
    <mergeCell ref="C13:F13"/>
    <mergeCell ref="J13:K13"/>
    <mergeCell ref="J14:K14"/>
    <mergeCell ref="C16:F16"/>
    <mergeCell ref="J16:K16"/>
    <mergeCell ref="C17:F17"/>
    <mergeCell ref="J17:K17"/>
    <mergeCell ref="C8:F8"/>
    <mergeCell ref="J8:K8"/>
    <mergeCell ref="J9:K9"/>
    <mergeCell ref="C11:F11"/>
    <mergeCell ref="J11:K11"/>
    <mergeCell ref="C12:F12"/>
    <mergeCell ref="J12:K12"/>
    <mergeCell ref="C23:F23"/>
    <mergeCell ref="J23:K23"/>
    <mergeCell ref="C24:F24"/>
    <mergeCell ref="J24:K24"/>
    <mergeCell ref="C25:F25"/>
    <mergeCell ref="J25:K25"/>
    <mergeCell ref="C18:F18"/>
    <mergeCell ref="J18:K18"/>
    <mergeCell ref="J19:K19"/>
    <mergeCell ref="C21:F21"/>
    <mergeCell ref="J21:K21"/>
    <mergeCell ref="C22:F22"/>
    <mergeCell ref="J22:K22"/>
    <mergeCell ref="C29:F29"/>
    <mergeCell ref="J29:K29"/>
    <mergeCell ref="C30:F30"/>
    <mergeCell ref="J30:K30"/>
    <mergeCell ref="J31:K31"/>
    <mergeCell ref="C33:F33"/>
    <mergeCell ref="J33:K33"/>
    <mergeCell ref="C26:F26"/>
    <mergeCell ref="J26:K26"/>
    <mergeCell ref="C27:F27"/>
    <mergeCell ref="J27:K27"/>
    <mergeCell ref="C28:F28"/>
    <mergeCell ref="J28:K28"/>
    <mergeCell ref="C37:F37"/>
    <mergeCell ref="J37:K37"/>
    <mergeCell ref="C38:F38"/>
    <mergeCell ref="J38:K38"/>
    <mergeCell ref="C39:F39"/>
    <mergeCell ref="J39:K39"/>
    <mergeCell ref="C34:F34"/>
    <mergeCell ref="J34:K34"/>
    <mergeCell ref="C35:F35"/>
    <mergeCell ref="J35:K35"/>
    <mergeCell ref="C36:F36"/>
    <mergeCell ref="J36:K36"/>
    <mergeCell ref="J43:K43"/>
    <mergeCell ref="C45:F45"/>
    <mergeCell ref="J45:K45"/>
    <mergeCell ref="C46:F46"/>
    <mergeCell ref="J46:K46"/>
    <mergeCell ref="C47:F47"/>
    <mergeCell ref="J47:K47"/>
    <mergeCell ref="C40:F40"/>
    <mergeCell ref="J40:K40"/>
    <mergeCell ref="C41:F41"/>
    <mergeCell ref="J41:K41"/>
    <mergeCell ref="C42:F42"/>
    <mergeCell ref="J42:K42"/>
    <mergeCell ref="J53:K53"/>
    <mergeCell ref="C55:F55"/>
    <mergeCell ref="J55:K55"/>
    <mergeCell ref="C56:F56"/>
    <mergeCell ref="J56:K56"/>
    <mergeCell ref="C57:F57"/>
    <mergeCell ref="J57:K57"/>
    <mergeCell ref="J48:K48"/>
    <mergeCell ref="C50:F50"/>
    <mergeCell ref="J50:K50"/>
    <mergeCell ref="C51:F51"/>
    <mergeCell ref="J51:K51"/>
    <mergeCell ref="C52:F52"/>
    <mergeCell ref="J52:K52"/>
    <mergeCell ref="J63:K63"/>
    <mergeCell ref="C65:F65"/>
    <mergeCell ref="J65:K65"/>
    <mergeCell ref="C66:F66"/>
    <mergeCell ref="J66:K66"/>
    <mergeCell ref="C67:F67"/>
    <mergeCell ref="J67:K67"/>
    <mergeCell ref="J58:K58"/>
    <mergeCell ref="C60:F60"/>
    <mergeCell ref="J60:K60"/>
    <mergeCell ref="C61:F61"/>
    <mergeCell ref="J61:K61"/>
    <mergeCell ref="C62:F62"/>
    <mergeCell ref="J62:K62"/>
    <mergeCell ref="J78:K78"/>
    <mergeCell ref="J73:K73"/>
    <mergeCell ref="C75:F75"/>
    <mergeCell ref="J75:K75"/>
    <mergeCell ref="C76:F76"/>
    <mergeCell ref="J76:K76"/>
    <mergeCell ref="C77:F77"/>
    <mergeCell ref="J77:K77"/>
    <mergeCell ref="J68:K68"/>
    <mergeCell ref="C70:F70"/>
    <mergeCell ref="J70:K70"/>
    <mergeCell ref="C71:F71"/>
    <mergeCell ref="J71:K71"/>
    <mergeCell ref="C72:F72"/>
    <mergeCell ref="J72:K72"/>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9</vt:i4>
      </vt:variant>
    </vt:vector>
  </HeadingPairs>
  <TitlesOfParts>
    <vt:vector size="23" baseType="lpstr">
      <vt:lpstr>DADOS</vt:lpstr>
      <vt:lpstr>RESUMO</vt:lpstr>
      <vt:lpstr>ORCAMENTO</vt:lpstr>
      <vt:lpstr>MEMORIA</vt:lpstr>
      <vt:lpstr>COMPOSICAO</vt:lpstr>
      <vt:lpstr>COMPOSICAO_AUX_1</vt:lpstr>
      <vt:lpstr>COMPOSICAO_AUX_2</vt:lpstr>
      <vt:lpstr>COMPOSICAO_AUX_3</vt:lpstr>
      <vt:lpstr>COMPOSICAO_AUX_4</vt:lpstr>
      <vt:lpstr>COMPOSICAO_AUX_5</vt:lpstr>
      <vt:lpstr>BDI</vt:lpstr>
      <vt:lpstr>LS</vt:lpstr>
      <vt:lpstr>S</vt:lpstr>
      <vt:lpstr>I</vt:lpstr>
      <vt:lpstr>COMPOSICAO!Area_de_impressao</vt:lpstr>
      <vt:lpstr>DADOS!Area_de_impressao</vt:lpstr>
      <vt:lpstr>BDI</vt:lpstr>
      <vt:lpstr>CIDADE</vt:lpstr>
      <vt:lpstr>FONTE</vt:lpstr>
      <vt:lpstr>LEI</vt:lpstr>
      <vt:lpstr>OBRA</vt:lpstr>
      <vt:lpstr>ONERA</vt:lpstr>
      <vt:lpstr>COMPOSICAO!Titulos_de_impressao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OrÃ§amentÃ¡ria</dc:title>
  <dc:subject>OrÃ§aamento de Obra</dc:subject>
  <dc:creator>romulo</dc:creator>
  <cp:keywords>planilha xls</cp:keywords>
  <dc:description>Gerada em www.meusinapi.com.br</dc:description>
  <cp:lastModifiedBy>Acer</cp:lastModifiedBy>
  <cp:lastPrinted>2021-05-13T14:28:40Z</cp:lastPrinted>
  <dcterms:created xsi:type="dcterms:W3CDTF">2021-05-13T11:15:26Z</dcterms:created>
  <dcterms:modified xsi:type="dcterms:W3CDTF">2021-09-14T13:18:04Z</dcterms:modified>
  <cp:category>Planilhas</cp:category>
</cp:coreProperties>
</file>